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 tabRatio="601" activeTab="4"/>
  </bookViews>
  <sheets>
    <sheet name="I rok" sheetId="4" r:id="rId1"/>
    <sheet name="II rok" sheetId="8" r:id="rId2"/>
    <sheet name="III rok" sheetId="9" r:id="rId3"/>
    <sheet name="IV rok" sheetId="10" r:id="rId4"/>
    <sheet name="V rok" sheetId="21" r:id="rId5"/>
    <sheet name="VI rok" sheetId="13" r:id="rId6"/>
    <sheet name="RAZEM" sheetId="14" state="hidden" r:id="rId7"/>
    <sheet name=" razem plan" sheetId="18" r:id="rId8"/>
    <sheet name="FAKULTETY " sheetId="20" r:id="rId9"/>
    <sheet name="KRAUM" sheetId="16" state="hidden" r:id="rId10"/>
    <sheet name="FAKULTETY" sheetId="5" state="hidden" r:id="rId11"/>
  </sheets>
  <externalReferences>
    <externalReference r:id="rId12"/>
    <externalReference r:id="rId13"/>
    <externalReference r:id="rId14"/>
  </externalReferences>
  <definedNames>
    <definedName name="_Toc382231539" localSheetId="9">KRAUM!$N$142</definedName>
    <definedName name="_Toc382231550" localSheetId="9">KRAUM!$B$111</definedName>
    <definedName name="_Toc382231561" localSheetId="9">KRAUM!$B$62</definedName>
    <definedName name="_xlnm.Print_Area" localSheetId="7">' razem plan'!$A$1:$K$129</definedName>
    <definedName name="_xlnm.Print_Area" localSheetId="0">'I rok'!$A$1:$AE$61</definedName>
    <definedName name="_xlnm.Print_Area" localSheetId="1">'II rok'!$A$1:$AE$91</definedName>
    <definedName name="_xlnm.Print_Area" localSheetId="2">'III rok'!$A$1:$AE$77</definedName>
    <definedName name="_xlnm.Print_Area" localSheetId="3">'IV rok'!$A$1:$AE$75</definedName>
    <definedName name="_xlnm.Print_Area" localSheetId="5">'VI rok'!$A$1:$AE$33</definedName>
    <definedName name="_xlnm.Print_Titles" localSheetId="10">FAKULTETY!$3:$6</definedName>
    <definedName name="_xlnm.Print_Titles" localSheetId="8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</definedNames>
  <calcPr calcId="145621" refMode="R1C1"/>
</workbook>
</file>

<file path=xl/calcChain.xml><?xml version="1.0" encoding="utf-8"?>
<calcChain xmlns="http://schemas.openxmlformats.org/spreadsheetml/2006/main">
  <c r="Z11" i="21" l="1"/>
  <c r="Y11" i="21" s="1"/>
  <c r="Y12" i="21" s="1"/>
  <c r="AA11" i="21"/>
  <c r="AA12" i="21" s="1"/>
  <c r="AB11" i="21"/>
  <c r="AC11" i="21"/>
  <c r="AD11" i="21"/>
  <c r="AE11" i="21"/>
  <c r="AE12" i="21" s="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Z12" i="21"/>
  <c r="AB12" i="21"/>
  <c r="AC12" i="21"/>
  <c r="AD12" i="21"/>
  <c r="Z14" i="21"/>
  <c r="Y14" i="21" s="1"/>
  <c r="AA14" i="21"/>
  <c r="AB14" i="21"/>
  <c r="AC14" i="21"/>
  <c r="AD14" i="21"/>
  <c r="AE14" i="21"/>
  <c r="Z15" i="21"/>
  <c r="Y15" i="21" s="1"/>
  <c r="AA15" i="21"/>
  <c r="AB15" i="21"/>
  <c r="AB18" i="21" s="1"/>
  <c r="AC15" i="21"/>
  <c r="AD15" i="21"/>
  <c r="AE15" i="21"/>
  <c r="C16" i="21"/>
  <c r="Z16" i="21"/>
  <c r="Y16" i="21" s="1"/>
  <c r="AA16" i="21"/>
  <c r="AB16" i="21"/>
  <c r="AC16" i="21"/>
  <c r="AD16" i="21"/>
  <c r="AE16" i="21"/>
  <c r="C17" i="21"/>
  <c r="Z17" i="21"/>
  <c r="Y17" i="21" s="1"/>
  <c r="AA17" i="21"/>
  <c r="AB17" i="21"/>
  <c r="AC17" i="21"/>
  <c r="AD17" i="21"/>
  <c r="AE17" i="21"/>
  <c r="G18" i="21"/>
  <c r="G49" i="21" s="1"/>
  <c r="H18" i="21"/>
  <c r="I18" i="21"/>
  <c r="J18" i="21"/>
  <c r="K18" i="21"/>
  <c r="K49" i="21" s="1"/>
  <c r="L18" i="21"/>
  <c r="M18" i="21"/>
  <c r="N18" i="21"/>
  <c r="O18" i="21"/>
  <c r="O49" i="21" s="1"/>
  <c r="P18" i="21"/>
  <c r="Q18" i="21"/>
  <c r="R18" i="21"/>
  <c r="S18" i="21"/>
  <c r="S49" i="21" s="1"/>
  <c r="T18" i="21"/>
  <c r="U18" i="21"/>
  <c r="V18" i="21"/>
  <c r="W18" i="21"/>
  <c r="W49" i="21" s="1"/>
  <c r="X18" i="21"/>
  <c r="Z18" i="21"/>
  <c r="AA18" i="21"/>
  <c r="AC18" i="21"/>
  <c r="AD18" i="21"/>
  <c r="AE18" i="21"/>
  <c r="C20" i="21"/>
  <c r="Z20" i="21"/>
  <c r="Y20" i="21" s="1"/>
  <c r="AA20" i="21"/>
  <c r="AA31" i="21" s="1"/>
  <c r="AB20" i="21"/>
  <c r="AB31" i="21" s="1"/>
  <c r="AC20" i="21"/>
  <c r="AD20" i="21"/>
  <c r="AE20" i="21"/>
  <c r="AE31" i="21" s="1"/>
  <c r="C21" i="21"/>
  <c r="Z21" i="21"/>
  <c r="Y21" i="21" s="1"/>
  <c r="AA21" i="21"/>
  <c r="AB21" i="21"/>
  <c r="AC21" i="21"/>
  <c r="AD21" i="21"/>
  <c r="AE21" i="21"/>
  <c r="C22" i="21"/>
  <c r="Z22" i="21"/>
  <c r="Y22" i="21" s="1"/>
  <c r="AA22" i="21"/>
  <c r="AB22" i="21"/>
  <c r="AC22" i="21"/>
  <c r="AD22" i="21"/>
  <c r="AE22" i="21"/>
  <c r="C23" i="21"/>
  <c r="Z23" i="21"/>
  <c r="Y23" i="21" s="1"/>
  <c r="AA23" i="21"/>
  <c r="AB23" i="21"/>
  <c r="AC23" i="21"/>
  <c r="AD23" i="21"/>
  <c r="AE23" i="21"/>
  <c r="C24" i="21"/>
  <c r="Z24" i="21"/>
  <c r="Y24" i="21" s="1"/>
  <c r="AA24" i="21"/>
  <c r="AB24" i="21"/>
  <c r="AC24" i="21"/>
  <c r="AD24" i="21"/>
  <c r="AE24" i="21"/>
  <c r="C25" i="21"/>
  <c r="Z25" i="21"/>
  <c r="Y25" i="21" s="1"/>
  <c r="AA25" i="21"/>
  <c r="AB25" i="21"/>
  <c r="AC25" i="21"/>
  <c r="AD25" i="21"/>
  <c r="AE25" i="21"/>
  <c r="C26" i="21"/>
  <c r="Z26" i="21"/>
  <c r="Y26" i="21" s="1"/>
  <c r="AA26" i="21"/>
  <c r="AB26" i="21"/>
  <c r="AC26" i="21"/>
  <c r="AD26" i="21"/>
  <c r="AE26" i="21"/>
  <c r="C27" i="21"/>
  <c r="Z27" i="21"/>
  <c r="Y27" i="21" s="1"/>
  <c r="AA27" i="21"/>
  <c r="AB27" i="21"/>
  <c r="AC27" i="21"/>
  <c r="AD27" i="21"/>
  <c r="AE27" i="21"/>
  <c r="C28" i="21"/>
  <c r="Z28" i="21"/>
  <c r="Y28" i="21" s="1"/>
  <c r="AA28" i="21"/>
  <c r="AB28" i="21"/>
  <c r="AC28" i="21"/>
  <c r="AD28" i="21"/>
  <c r="AE28" i="21"/>
  <c r="C29" i="21"/>
  <c r="Z29" i="21"/>
  <c r="Y29" i="21" s="1"/>
  <c r="AA29" i="21"/>
  <c r="AB29" i="21"/>
  <c r="AC29" i="21"/>
  <c r="AD29" i="21"/>
  <c r="AE29" i="21"/>
  <c r="C30" i="21"/>
  <c r="Z30" i="21"/>
  <c r="Y30" i="21" s="1"/>
  <c r="AA30" i="21"/>
  <c r="AB30" i="21"/>
  <c r="AC30" i="21"/>
  <c r="AD30" i="21"/>
  <c r="AE30" i="21"/>
  <c r="G31" i="21"/>
  <c r="H31" i="21"/>
  <c r="I31" i="21"/>
  <c r="J31" i="21"/>
  <c r="J49" i="21" s="1"/>
  <c r="K31" i="21"/>
  <c r="L31" i="21"/>
  <c r="M31" i="21"/>
  <c r="N31" i="21"/>
  <c r="N49" i="21" s="1"/>
  <c r="O31" i="21"/>
  <c r="P31" i="21"/>
  <c r="Q31" i="21"/>
  <c r="R31" i="21"/>
  <c r="R49" i="21" s="1"/>
  <c r="S31" i="21"/>
  <c r="T31" i="21"/>
  <c r="U31" i="21"/>
  <c r="V31" i="21"/>
  <c r="V49" i="21" s="1"/>
  <c r="W31" i="21"/>
  <c r="X31" i="21"/>
  <c r="Z31" i="21"/>
  <c r="AC31" i="21"/>
  <c r="AD31" i="21"/>
  <c r="C33" i="21"/>
  <c r="Z33" i="21"/>
  <c r="Y33" i="21" s="1"/>
  <c r="Y35" i="21" s="1"/>
  <c r="AA33" i="21"/>
  <c r="AA35" i="21" s="1"/>
  <c r="AB33" i="21"/>
  <c r="AB35" i="21" s="1"/>
  <c r="AC33" i="21"/>
  <c r="AD33" i="21"/>
  <c r="AD35" i="21" s="1"/>
  <c r="AE33" i="21"/>
  <c r="AE35" i="21" s="1"/>
  <c r="C34" i="21"/>
  <c r="Z34" i="21"/>
  <c r="Y34" i="21" s="1"/>
  <c r="AA34" i="21"/>
  <c r="AB34" i="21"/>
  <c r="AC34" i="21"/>
  <c r="AD34" i="21"/>
  <c r="AE34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AC35" i="21"/>
  <c r="C37" i="21"/>
  <c r="Z37" i="21"/>
  <c r="Z39" i="21" s="1"/>
  <c r="AA37" i="21"/>
  <c r="AA39" i="21" s="1"/>
  <c r="AB37" i="21"/>
  <c r="AC37" i="21"/>
  <c r="Y37" i="21" s="1"/>
  <c r="Y39" i="21" s="1"/>
  <c r="AD37" i="21"/>
  <c r="AD39" i="21" s="1"/>
  <c r="AE37" i="21"/>
  <c r="AE39" i="21" s="1"/>
  <c r="C38" i="21"/>
  <c r="Z38" i="21"/>
  <c r="AA38" i="21"/>
  <c r="AB38" i="21"/>
  <c r="AC38" i="21"/>
  <c r="Y38" i="21" s="1"/>
  <c r="AD38" i="21"/>
  <c r="AE38" i="21"/>
  <c r="G39" i="21"/>
  <c r="H39" i="21"/>
  <c r="H49" i="21" s="1"/>
  <c r="I39" i="21"/>
  <c r="J39" i="21"/>
  <c r="K39" i="21"/>
  <c r="L39" i="21"/>
  <c r="L49" i="21" s="1"/>
  <c r="M39" i="21"/>
  <c r="N39" i="21"/>
  <c r="O39" i="21"/>
  <c r="P39" i="21"/>
  <c r="P49" i="21" s="1"/>
  <c r="Q39" i="21"/>
  <c r="R39" i="21"/>
  <c r="S39" i="21"/>
  <c r="T39" i="21"/>
  <c r="T49" i="21" s="1"/>
  <c r="U39" i="21"/>
  <c r="V39" i="21"/>
  <c r="W39" i="21"/>
  <c r="X39" i="21"/>
  <c r="X49" i="21" s="1"/>
  <c r="AB39" i="21"/>
  <c r="C41" i="21"/>
  <c r="Z41" i="21"/>
  <c r="Z42" i="21" s="1"/>
  <c r="AA41" i="21"/>
  <c r="AB41" i="21"/>
  <c r="Y41" i="21" s="1"/>
  <c r="Y42" i="21" s="1"/>
  <c r="AC41" i="21"/>
  <c r="AC42" i="21" s="1"/>
  <c r="AD41" i="21"/>
  <c r="AD42" i="21" s="1"/>
  <c r="AE41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AA42" i="21"/>
  <c r="AE42" i="21"/>
  <c r="Z44" i="21"/>
  <c r="AA44" i="21"/>
  <c r="AB44" i="21"/>
  <c r="AB48" i="21" s="1"/>
  <c r="AC44" i="21"/>
  <c r="AC48" i="21" s="1"/>
  <c r="AD44" i="21"/>
  <c r="AE44" i="21"/>
  <c r="Z45" i="21"/>
  <c r="AA45" i="21"/>
  <c r="AB45" i="21"/>
  <c r="AC45" i="21"/>
  <c r="Y45" i="21" s="1"/>
  <c r="AD45" i="21"/>
  <c r="AE45" i="21"/>
  <c r="Z46" i="21"/>
  <c r="Y46" i="21" s="1"/>
  <c r="AA46" i="21"/>
  <c r="AB46" i="21"/>
  <c r="AC46" i="21"/>
  <c r="AD46" i="21"/>
  <c r="AE46" i="21"/>
  <c r="Z47" i="21"/>
  <c r="AA47" i="21"/>
  <c r="Y47" i="21" s="1"/>
  <c r="AB47" i="21"/>
  <c r="AC47" i="21"/>
  <c r="AD47" i="21"/>
  <c r="AE47" i="21"/>
  <c r="AE48" i="21" s="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Z48" i="21"/>
  <c r="AD48" i="21"/>
  <c r="I49" i="21"/>
  <c r="M49" i="21"/>
  <c r="Q49" i="21"/>
  <c r="U49" i="21"/>
  <c r="C52" i="21"/>
  <c r="Y52" i="21"/>
  <c r="Z52" i="21"/>
  <c r="AA52" i="21"/>
  <c r="AB52" i="21"/>
  <c r="AC52" i="21"/>
  <c r="AD52" i="21"/>
  <c r="AE52" i="21"/>
  <c r="C53" i="21"/>
  <c r="Y53" i="21"/>
  <c r="Z53" i="21"/>
  <c r="AA53" i="21"/>
  <c r="AB53" i="21"/>
  <c r="AC53" i="21"/>
  <c r="AD53" i="21"/>
  <c r="AE53" i="21"/>
  <c r="C54" i="21"/>
  <c r="Y54" i="21"/>
  <c r="Z54" i="21"/>
  <c r="AA54" i="21"/>
  <c r="AB54" i="21"/>
  <c r="AC54" i="21"/>
  <c r="AD54" i="21"/>
  <c r="AE54" i="21"/>
  <c r="C55" i="21"/>
  <c r="Y55" i="21"/>
  <c r="Z55" i="21"/>
  <c r="AA55" i="21"/>
  <c r="AB55" i="21"/>
  <c r="AC55" i="21"/>
  <c r="AD55" i="21"/>
  <c r="AE55" i="21"/>
  <c r="C56" i="21"/>
  <c r="Y56" i="21"/>
  <c r="Z56" i="21"/>
  <c r="AA56" i="21"/>
  <c r="AB56" i="21"/>
  <c r="AC56" i="21"/>
  <c r="AD56" i="21"/>
  <c r="AE56" i="21"/>
  <c r="C57" i="21"/>
  <c r="Y57" i="21"/>
  <c r="Z57" i="21"/>
  <c r="AA57" i="21"/>
  <c r="AB57" i="21"/>
  <c r="AC57" i="21"/>
  <c r="AD57" i="21"/>
  <c r="AE57" i="21"/>
  <c r="C58" i="21"/>
  <c r="Y58" i="21"/>
  <c r="Z58" i="21"/>
  <c r="AA58" i="21"/>
  <c r="AB58" i="21"/>
  <c r="AC58" i="21"/>
  <c r="AD58" i="21"/>
  <c r="AE58" i="21"/>
  <c r="C59" i="21"/>
  <c r="Y59" i="21"/>
  <c r="Z59" i="21"/>
  <c r="AA59" i="21"/>
  <c r="AB59" i="21"/>
  <c r="AC59" i="21"/>
  <c r="AD59" i="21"/>
  <c r="AE59" i="21"/>
  <c r="C60" i="21"/>
  <c r="Y60" i="21"/>
  <c r="Z60" i="21"/>
  <c r="AA60" i="21"/>
  <c r="AB60" i="21"/>
  <c r="AC60" i="21"/>
  <c r="AD60" i="21"/>
  <c r="AE60" i="21"/>
  <c r="C61" i="21"/>
  <c r="Y61" i="21"/>
  <c r="Z61" i="21"/>
  <c r="AA61" i="21"/>
  <c r="AB61" i="21"/>
  <c r="AC61" i="21"/>
  <c r="AD61" i="21"/>
  <c r="AE61" i="21"/>
  <c r="C62" i="21"/>
  <c r="Y62" i="21"/>
  <c r="Z62" i="21"/>
  <c r="AA62" i="21"/>
  <c r="AB62" i="21"/>
  <c r="AC62" i="21"/>
  <c r="AD62" i="21"/>
  <c r="AE62" i="21"/>
  <c r="C63" i="21"/>
  <c r="Y63" i="21"/>
  <c r="Z63" i="21"/>
  <c r="AA63" i="21"/>
  <c r="AB63" i="21"/>
  <c r="AC63" i="21"/>
  <c r="AD63" i="21"/>
  <c r="AE63" i="21"/>
  <c r="C64" i="21"/>
  <c r="Y64" i="21"/>
  <c r="Z64" i="21"/>
  <c r="AA64" i="21"/>
  <c r="AB64" i="21"/>
  <c r="AC64" i="21"/>
  <c r="AD64" i="21"/>
  <c r="AE64" i="21"/>
  <c r="C65" i="21"/>
  <c r="Y65" i="21"/>
  <c r="Z65" i="21"/>
  <c r="AA65" i="21"/>
  <c r="AB65" i="21"/>
  <c r="AC65" i="21"/>
  <c r="AD65" i="21"/>
  <c r="AE65" i="21"/>
  <c r="C66" i="21"/>
  <c r="Y66" i="21"/>
  <c r="Z66" i="21"/>
  <c r="AA66" i="21"/>
  <c r="AB66" i="21"/>
  <c r="AC66" i="21"/>
  <c r="AD66" i="21"/>
  <c r="AE66" i="21"/>
  <c r="C67" i="21"/>
  <c r="Y67" i="21"/>
  <c r="Z67" i="21"/>
  <c r="AA67" i="21"/>
  <c r="AB67" i="21"/>
  <c r="AC67" i="21"/>
  <c r="AD67" i="21"/>
  <c r="AE67" i="21"/>
  <c r="C68" i="21"/>
  <c r="Y68" i="21"/>
  <c r="Z68" i="21"/>
  <c r="AA68" i="21"/>
  <c r="AD68" i="21"/>
  <c r="AE68" i="21"/>
  <c r="C69" i="21"/>
  <c r="Y69" i="21"/>
  <c r="Z69" i="21"/>
  <c r="AA69" i="21"/>
  <c r="AB69" i="21"/>
  <c r="AC69" i="21"/>
  <c r="AD69" i="21"/>
  <c r="AE69" i="21"/>
  <c r="C70" i="21"/>
  <c r="Y70" i="21"/>
  <c r="Z70" i="21"/>
  <c r="AA70" i="21"/>
  <c r="AB70" i="21"/>
  <c r="AC70" i="21"/>
  <c r="AD70" i="21"/>
  <c r="AE70" i="21"/>
  <c r="C71" i="21"/>
  <c r="Y71" i="21"/>
  <c r="Z71" i="21"/>
  <c r="AA71" i="21"/>
  <c r="AB71" i="21"/>
  <c r="AC71" i="21"/>
  <c r="AD71" i="21"/>
  <c r="AE71" i="21"/>
  <c r="Z72" i="21"/>
  <c r="AA72" i="21"/>
  <c r="AB72" i="21"/>
  <c r="Y72" i="21" s="1"/>
  <c r="AC72" i="21"/>
  <c r="AD72" i="21"/>
  <c r="AE72" i="21"/>
  <c r="C73" i="21"/>
  <c r="Y73" i="21"/>
  <c r="Z73" i="21"/>
  <c r="AA73" i="21"/>
  <c r="AB73" i="21"/>
  <c r="AC73" i="21"/>
  <c r="AD73" i="21"/>
  <c r="AE73" i="21"/>
  <c r="C74" i="21"/>
  <c r="Y74" i="21"/>
  <c r="Z74" i="21"/>
  <c r="AA74" i="21"/>
  <c r="AB74" i="21"/>
  <c r="AC74" i="21"/>
  <c r="AD74" i="21"/>
  <c r="AE74" i="21"/>
  <c r="Y18" i="21" l="1"/>
  <c r="Y49" i="21" s="1"/>
  <c r="AD49" i="21"/>
  <c r="Y31" i="21"/>
  <c r="AE49" i="21"/>
  <c r="Z49" i="21"/>
  <c r="AA48" i="21"/>
  <c r="AA49" i="21" s="1"/>
  <c r="Y44" i="21"/>
  <c r="Y48" i="21" s="1"/>
  <c r="AB42" i="21"/>
  <c r="AB49" i="21" s="1"/>
  <c r="AC39" i="21"/>
  <c r="AC49" i="21" s="1"/>
  <c r="Z35" i="21"/>
  <c r="C11" i="8"/>
  <c r="C50" i="8" l="1"/>
  <c r="C51" i="8"/>
  <c r="J91" i="18" l="1"/>
  <c r="J90" i="18"/>
  <c r="J89" i="18"/>
  <c r="H91" i="18"/>
  <c r="H90" i="18"/>
  <c r="H89" i="18"/>
  <c r="H101" i="18" l="1"/>
  <c r="AE46" i="9" l="1"/>
  <c r="AE45" i="9"/>
  <c r="AD46" i="9"/>
  <c r="AD45" i="9"/>
  <c r="AC46" i="9"/>
  <c r="AC45" i="9"/>
  <c r="AB46" i="9"/>
  <c r="AB45" i="9"/>
  <c r="AA46" i="9"/>
  <c r="AA45" i="9"/>
  <c r="Z46" i="9"/>
  <c r="Z45" i="9"/>
  <c r="Y46" i="9"/>
  <c r="Y47" i="9"/>
  <c r="K115" i="18"/>
  <c r="K114" i="18"/>
  <c r="J115" i="18"/>
  <c r="J114" i="18"/>
  <c r="I115" i="18"/>
  <c r="I114" i="18"/>
  <c r="H115" i="18"/>
  <c r="H114" i="18"/>
  <c r="G115" i="18"/>
  <c r="G114" i="18"/>
  <c r="F117" i="18"/>
  <c r="F116" i="18"/>
  <c r="F115" i="18"/>
  <c r="F114" i="18"/>
  <c r="F113" i="18"/>
  <c r="G113" i="18"/>
  <c r="K113" i="18"/>
  <c r="K112" i="18"/>
  <c r="J113" i="18"/>
  <c r="J112" i="18"/>
  <c r="I113" i="18"/>
  <c r="I112" i="18"/>
  <c r="H113" i="18"/>
  <c r="H112" i="18"/>
  <c r="G112" i="18"/>
  <c r="AE36" i="9"/>
  <c r="AE35" i="9"/>
  <c r="AD36" i="9"/>
  <c r="AD35" i="9"/>
  <c r="Z34" i="9"/>
  <c r="Z33" i="9"/>
  <c r="AC36" i="9"/>
  <c r="AC34" i="9"/>
  <c r="AC35" i="9"/>
  <c r="AB36" i="9"/>
  <c r="AB35" i="9"/>
  <c r="AA36" i="9"/>
  <c r="AA35" i="9"/>
  <c r="Z36" i="9"/>
  <c r="Z35" i="9"/>
  <c r="Y35" i="9"/>
  <c r="AE34" i="9"/>
  <c r="AE33" i="9"/>
  <c r="AD34" i="9"/>
  <c r="AD33" i="9"/>
  <c r="AA34" i="9"/>
  <c r="AA33" i="9"/>
  <c r="Y32" i="9"/>
  <c r="F112" i="18"/>
  <c r="G111" i="18"/>
  <c r="F111" i="18"/>
  <c r="K91" i="18"/>
  <c r="K90" i="18"/>
  <c r="K89" i="18"/>
  <c r="E115" i="18" l="1"/>
  <c r="E114" i="18"/>
  <c r="E113" i="18"/>
  <c r="Y34" i="9"/>
  <c r="Y36" i="9"/>
  <c r="D26" i="20" l="1"/>
  <c r="D65" i="20"/>
  <c r="C63" i="20"/>
  <c r="F63" i="20"/>
  <c r="Y63" i="20"/>
  <c r="AE63" i="20"/>
  <c r="D8" i="20" l="1"/>
  <c r="AE8" i="20"/>
  <c r="AF8" i="20"/>
  <c r="C47" i="9" l="1"/>
  <c r="Z47" i="9"/>
  <c r="AA47" i="9"/>
  <c r="AB47" i="9"/>
  <c r="AC47" i="9"/>
  <c r="AD47" i="9"/>
  <c r="AE47" i="9"/>
  <c r="C53" i="9"/>
  <c r="Y53" i="9"/>
  <c r="Z53" i="9"/>
  <c r="AA53" i="9"/>
  <c r="AB53" i="9"/>
  <c r="AC53" i="9"/>
  <c r="AD53" i="9"/>
  <c r="AE53" i="9"/>
  <c r="AB39" i="4"/>
  <c r="AB38" i="4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C18" i="4"/>
  <c r="C16" i="18"/>
  <c r="Y51" i="8" l="1"/>
  <c r="Y52" i="8"/>
  <c r="Y53" i="8"/>
  <c r="Y54" i="8"/>
  <c r="Y55" i="8"/>
  <c r="Y56" i="8"/>
  <c r="Y57" i="8"/>
  <c r="Y58" i="8"/>
  <c r="Y59" i="8"/>
  <c r="AE51" i="8"/>
  <c r="AE52" i="8"/>
  <c r="AE53" i="8"/>
  <c r="AE54" i="8"/>
  <c r="AE55" i="8"/>
  <c r="AE56" i="8"/>
  <c r="AE57" i="8"/>
  <c r="AE58" i="8"/>
  <c r="AE59" i="8"/>
  <c r="AD51" i="8"/>
  <c r="AD52" i="8"/>
  <c r="AD53" i="8"/>
  <c r="AD54" i="8"/>
  <c r="AD55" i="8"/>
  <c r="AD56" i="8"/>
  <c r="AD57" i="8"/>
  <c r="AD58" i="8"/>
  <c r="AD59" i="8"/>
  <c r="AC51" i="8"/>
  <c r="AC52" i="8"/>
  <c r="AC53" i="8"/>
  <c r="AC54" i="8"/>
  <c r="AC55" i="8"/>
  <c r="AC56" i="8"/>
  <c r="AC57" i="8"/>
  <c r="AC58" i="8"/>
  <c r="AC59" i="8"/>
  <c r="AB51" i="8"/>
  <c r="AB52" i="8"/>
  <c r="AB53" i="8"/>
  <c r="AB54" i="8"/>
  <c r="AB55" i="8"/>
  <c r="AB56" i="8"/>
  <c r="AB57" i="8"/>
  <c r="AB58" i="8"/>
  <c r="AB59" i="8"/>
  <c r="AA51" i="8"/>
  <c r="AA52" i="8"/>
  <c r="AA53" i="8"/>
  <c r="AA54" i="8"/>
  <c r="AA55" i="8"/>
  <c r="AA56" i="8"/>
  <c r="AA57" i="8"/>
  <c r="AA58" i="8"/>
  <c r="AA59" i="8"/>
  <c r="Z51" i="8"/>
  <c r="Z52" i="8"/>
  <c r="Z53" i="8"/>
  <c r="Z54" i="8"/>
  <c r="Z55" i="8"/>
  <c r="Z56" i="8"/>
  <c r="Z57" i="8"/>
  <c r="Z58" i="8"/>
  <c r="Z59" i="8"/>
  <c r="Z50" i="8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G36" i="4"/>
  <c r="H45" i="8" l="1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G45" i="8"/>
  <c r="AE44" i="8"/>
  <c r="K110" i="18" s="1"/>
  <c r="AD44" i="8"/>
  <c r="J110" i="18" s="1"/>
  <c r="AC44" i="8"/>
  <c r="AB44" i="8"/>
  <c r="H110" i="18" s="1"/>
  <c r="AA44" i="8"/>
  <c r="G110" i="18" s="1"/>
  <c r="Z44" i="8"/>
  <c r="F110" i="18" s="1"/>
  <c r="Y44" i="8" l="1"/>
  <c r="I110" i="18"/>
  <c r="E110" i="18" s="1"/>
  <c r="X27" i="4" l="1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4" i="8" l="1"/>
  <c r="AE23" i="8"/>
  <c r="AE17" i="9" l="1"/>
  <c r="AD17" i="9"/>
  <c r="AC17" i="9"/>
  <c r="AB17" i="9"/>
  <c r="AA17" i="9"/>
  <c r="Z17" i="9"/>
  <c r="C17" i="9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AE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AE37" i="9"/>
  <c r="AE38" i="9"/>
  <c r="AD37" i="9"/>
  <c r="AD38" i="9"/>
  <c r="AC33" i="9"/>
  <c r="AC37" i="9"/>
  <c r="AC38" i="9"/>
  <c r="AB33" i="9"/>
  <c r="AB37" i="9"/>
  <c r="AB38" i="9"/>
  <c r="AA37" i="9"/>
  <c r="AA38" i="9"/>
  <c r="Y33" i="9"/>
  <c r="Z37" i="9"/>
  <c r="Y37" i="9" s="1"/>
  <c r="Z38" i="9"/>
  <c r="AC34" i="10"/>
  <c r="AC35" i="10"/>
  <c r="AC36" i="10"/>
  <c r="AC37" i="10"/>
  <c r="AC38" i="10"/>
  <c r="AC33" i="10"/>
  <c r="AB34" i="10"/>
  <c r="AB35" i="10"/>
  <c r="AB36" i="10"/>
  <c r="AB37" i="10"/>
  <c r="AB38" i="10"/>
  <c r="AB33" i="10"/>
  <c r="Y36" i="10"/>
  <c r="Y37" i="10"/>
  <c r="AC27" i="10"/>
  <c r="AC26" i="10"/>
  <c r="Z27" i="10"/>
  <c r="Z26" i="10"/>
  <c r="AC22" i="10"/>
  <c r="Y22" i="10" s="1"/>
  <c r="AC23" i="10"/>
  <c r="Y23" i="10" s="1"/>
  <c r="AC21" i="10"/>
  <c r="Y21" i="10" s="1"/>
  <c r="AD12" i="10"/>
  <c r="AD13" i="10"/>
  <c r="AD14" i="10"/>
  <c r="AD15" i="10"/>
  <c r="AD16" i="10"/>
  <c r="AD17" i="10"/>
  <c r="AD18" i="10"/>
  <c r="AD11" i="10"/>
  <c r="Y12" i="10"/>
  <c r="Y13" i="10"/>
  <c r="Y14" i="10"/>
  <c r="Y15" i="10"/>
  <c r="Y17" i="10"/>
  <c r="Y11" i="10"/>
  <c r="AC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J125" i="18"/>
  <c r="J124" i="18"/>
  <c r="J93" i="18"/>
  <c r="J92" i="18"/>
  <c r="Y17" i="9" l="1"/>
  <c r="Y38" i="9"/>
  <c r="AD19" i="10"/>
  <c r="Y38" i="10"/>
  <c r="Y34" i="10"/>
  <c r="Y33" i="10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I22" i="13"/>
  <c r="H22" i="13"/>
  <c r="G22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H26" i="13" l="1"/>
  <c r="I26" i="13"/>
  <c r="G26" i="13"/>
  <c r="Z41" i="8" l="1"/>
  <c r="F107" i="18" s="1"/>
  <c r="Z42" i="8"/>
  <c r="F108" i="18" s="1"/>
  <c r="Z43" i="8"/>
  <c r="F109" i="18" s="1"/>
  <c r="Z36" i="8"/>
  <c r="F100" i="18" s="1"/>
  <c r="Z37" i="8"/>
  <c r="F101" i="18" s="1"/>
  <c r="Z33" i="8"/>
  <c r="Z28" i="8"/>
  <c r="Z29" i="8"/>
  <c r="Z24" i="8"/>
  <c r="Z17" i="8"/>
  <c r="Z18" i="8"/>
  <c r="Z19" i="8"/>
  <c r="Z20" i="8"/>
  <c r="Z12" i="8"/>
  <c r="Z13" i="8"/>
  <c r="AA41" i="8"/>
  <c r="G107" i="18" s="1"/>
  <c r="AA42" i="8"/>
  <c r="G108" i="18" s="1"/>
  <c r="AA43" i="8"/>
  <c r="G109" i="18" s="1"/>
  <c r="AA36" i="8"/>
  <c r="AA37" i="8"/>
  <c r="AA33" i="8"/>
  <c r="AA28" i="8"/>
  <c r="AA29" i="8"/>
  <c r="AA24" i="8"/>
  <c r="AA17" i="8"/>
  <c r="AA18" i="8"/>
  <c r="AA19" i="8"/>
  <c r="AA20" i="8"/>
  <c r="AA12" i="8"/>
  <c r="AA13" i="8"/>
  <c r="AB41" i="8"/>
  <c r="H107" i="18" s="1"/>
  <c r="AB42" i="8"/>
  <c r="H108" i="18" s="1"/>
  <c r="AB43" i="8"/>
  <c r="H109" i="18" s="1"/>
  <c r="AB36" i="8"/>
  <c r="AB37" i="8"/>
  <c r="AB33" i="8"/>
  <c r="H88" i="18" s="1"/>
  <c r="AB28" i="8"/>
  <c r="AB29" i="8"/>
  <c r="AB24" i="8"/>
  <c r="AB17" i="8"/>
  <c r="AB18" i="8"/>
  <c r="AB19" i="8"/>
  <c r="AB20" i="8"/>
  <c r="AC24" i="8"/>
  <c r="AC17" i="8"/>
  <c r="I21" i="18" s="1"/>
  <c r="AC18" i="8"/>
  <c r="AC19" i="8"/>
  <c r="AC20" i="8"/>
  <c r="AD24" i="8"/>
  <c r="AD17" i="8"/>
  <c r="AD18" i="8"/>
  <c r="AD19" i="8"/>
  <c r="AD20" i="8"/>
  <c r="AA39" i="4"/>
  <c r="AA38" i="4"/>
  <c r="Y24" i="8" l="1"/>
  <c r="Y20" i="8"/>
  <c r="Y19" i="8"/>
  <c r="Y17" i="8"/>
  <c r="Y18" i="8"/>
  <c r="J51" i="18"/>
  <c r="I51" i="18"/>
  <c r="H51" i="18"/>
  <c r="Z11" i="9" l="1"/>
  <c r="AA11" i="9"/>
  <c r="AD11" i="9"/>
  <c r="E112" i="18" l="1"/>
  <c r="X24" i="10" l="1"/>
  <c r="O24" i="10"/>
  <c r="G40" i="18" l="1"/>
  <c r="H40" i="18"/>
  <c r="I40" i="18"/>
  <c r="J40" i="18"/>
  <c r="K40" i="18"/>
  <c r="F40" i="18" l="1"/>
  <c r="F119" i="18"/>
  <c r="F121" i="18"/>
  <c r="F122" i="18"/>
  <c r="F123" i="18"/>
  <c r="G119" i="18"/>
  <c r="G121" i="18"/>
  <c r="G122" i="18"/>
  <c r="G123" i="18"/>
  <c r="H119" i="18"/>
  <c r="H121" i="18"/>
  <c r="H122" i="18"/>
  <c r="H123" i="18"/>
  <c r="I119" i="18"/>
  <c r="I120" i="18"/>
  <c r="I121" i="18"/>
  <c r="I122" i="18"/>
  <c r="I123" i="18"/>
  <c r="J119" i="18"/>
  <c r="J121" i="18"/>
  <c r="J122" i="18"/>
  <c r="J123" i="18"/>
  <c r="K119" i="18"/>
  <c r="K121" i="18"/>
  <c r="K122" i="18"/>
  <c r="K123" i="18"/>
  <c r="F118" i="18"/>
  <c r="G118" i="18"/>
  <c r="H118" i="18"/>
  <c r="I118" i="18"/>
  <c r="J118" i="18"/>
  <c r="K118" i="18"/>
  <c r="G105" i="18"/>
  <c r="G104" i="18"/>
  <c r="G101" i="18"/>
  <c r="G100" i="18"/>
  <c r="F70" i="18"/>
  <c r="F71" i="18"/>
  <c r="G70" i="18"/>
  <c r="G71" i="18"/>
  <c r="H70" i="18"/>
  <c r="H71" i="18"/>
  <c r="F66" i="18"/>
  <c r="G66" i="18"/>
  <c r="H66" i="18"/>
  <c r="I66" i="18"/>
  <c r="J66" i="18"/>
  <c r="K66" i="18"/>
  <c r="E121" i="18" l="1"/>
  <c r="E122" i="18"/>
  <c r="E123" i="18"/>
  <c r="E119" i="18"/>
  <c r="E118" i="18"/>
  <c r="E66" i="18"/>
  <c r="F54" i="18"/>
  <c r="G54" i="18"/>
  <c r="H54" i="18"/>
  <c r="I54" i="18"/>
  <c r="K54" i="18"/>
  <c r="E54" i="18" l="1"/>
  <c r="F49" i="18" l="1"/>
  <c r="G49" i="18"/>
  <c r="H49" i="18"/>
  <c r="I49" i="18"/>
  <c r="J49" i="18"/>
  <c r="K49" i="18"/>
  <c r="I48" i="18"/>
  <c r="J48" i="18"/>
  <c r="F44" i="18"/>
  <c r="F45" i="18"/>
  <c r="G44" i="18"/>
  <c r="G45" i="18"/>
  <c r="H44" i="18"/>
  <c r="H45" i="18"/>
  <c r="I44" i="18"/>
  <c r="I45" i="18"/>
  <c r="J44" i="18"/>
  <c r="J45" i="18"/>
  <c r="K44" i="18"/>
  <c r="K45" i="18"/>
  <c r="E45" i="18" l="1"/>
  <c r="E49" i="18"/>
  <c r="E44" i="18"/>
  <c r="F43" i="18"/>
  <c r="G43" i="18"/>
  <c r="H43" i="18"/>
  <c r="I43" i="18"/>
  <c r="J43" i="18"/>
  <c r="K43" i="18"/>
  <c r="E43" i="18" l="1"/>
  <c r="F36" i="18" l="1"/>
  <c r="G36" i="18"/>
  <c r="H36" i="18"/>
  <c r="I36" i="18"/>
  <c r="J36" i="18"/>
  <c r="K36" i="18"/>
  <c r="F26" i="18"/>
  <c r="G26" i="18"/>
  <c r="H26" i="18"/>
  <c r="I26" i="18"/>
  <c r="J26" i="18"/>
  <c r="K26" i="18"/>
  <c r="F21" i="18"/>
  <c r="F22" i="18"/>
  <c r="F23" i="18"/>
  <c r="G21" i="18"/>
  <c r="G22" i="18"/>
  <c r="G23" i="18"/>
  <c r="H21" i="18"/>
  <c r="H22" i="18"/>
  <c r="H23" i="18"/>
  <c r="I22" i="18"/>
  <c r="I23" i="18"/>
  <c r="J21" i="18"/>
  <c r="J22" i="18"/>
  <c r="J23" i="18"/>
  <c r="E21" i="18" l="1"/>
  <c r="E22" i="18"/>
  <c r="E23" i="18"/>
  <c r="E36" i="18"/>
  <c r="E26" i="18"/>
  <c r="F17" i="18"/>
  <c r="H17" i="18"/>
  <c r="I17" i="18"/>
  <c r="K17" i="18"/>
  <c r="F14" i="18" l="1"/>
  <c r="G14" i="18" l="1"/>
  <c r="G13" i="18"/>
  <c r="Z32" i="4" l="1"/>
  <c r="AA32" i="4"/>
  <c r="AB32" i="4"/>
  <c r="AC32" i="4"/>
  <c r="AD32" i="4"/>
  <c r="AE32" i="4"/>
  <c r="Z29" i="4"/>
  <c r="Z30" i="4" s="1"/>
  <c r="AA29" i="4"/>
  <c r="AA30" i="4" s="1"/>
  <c r="AB29" i="4"/>
  <c r="AC29" i="4"/>
  <c r="AC30" i="4" s="1"/>
  <c r="AD29" i="4"/>
  <c r="AE29" i="4"/>
  <c r="Z22" i="4"/>
  <c r="F31" i="18" s="1"/>
  <c r="Z23" i="4"/>
  <c r="F32" i="18" s="1"/>
  <c r="Z24" i="4"/>
  <c r="F33" i="18" s="1"/>
  <c r="Z25" i="4"/>
  <c r="F34" i="18" s="1"/>
  <c r="Z26" i="4"/>
  <c r="AA22" i="4"/>
  <c r="G31" i="18" s="1"/>
  <c r="AA23" i="4"/>
  <c r="G32" i="18" s="1"/>
  <c r="AA24" i="4"/>
  <c r="G33" i="18" s="1"/>
  <c r="AA25" i="4"/>
  <c r="G34" i="18" s="1"/>
  <c r="AA26" i="4"/>
  <c r="AB22" i="4"/>
  <c r="H31" i="18" s="1"/>
  <c r="AB23" i="4"/>
  <c r="H32" i="18" s="1"/>
  <c r="AB24" i="4"/>
  <c r="H33" i="18" s="1"/>
  <c r="AB25" i="4"/>
  <c r="H34" i="18" s="1"/>
  <c r="AB26" i="4"/>
  <c r="H35" i="18" s="1"/>
  <c r="AC22" i="4"/>
  <c r="I31" i="18" s="1"/>
  <c r="AC23" i="4"/>
  <c r="I32" i="18" s="1"/>
  <c r="AC24" i="4"/>
  <c r="I33" i="18" s="1"/>
  <c r="AC25" i="4"/>
  <c r="I34" i="18" s="1"/>
  <c r="AC26" i="4"/>
  <c r="AD22" i="4"/>
  <c r="J31" i="18" s="1"/>
  <c r="AD23" i="4"/>
  <c r="J32" i="18" s="1"/>
  <c r="AD24" i="4"/>
  <c r="J33" i="18" s="1"/>
  <c r="AD25" i="4"/>
  <c r="J34" i="18" s="1"/>
  <c r="AD26" i="4"/>
  <c r="AE22" i="4"/>
  <c r="K31" i="18" s="1"/>
  <c r="AE23" i="4"/>
  <c r="K32" i="18" s="1"/>
  <c r="AE24" i="4"/>
  <c r="K33" i="18" s="1"/>
  <c r="AE25" i="4"/>
  <c r="K34" i="18" s="1"/>
  <c r="AE26" i="4"/>
  <c r="K35" i="18" s="1"/>
  <c r="Z21" i="4"/>
  <c r="AA21" i="4"/>
  <c r="AB21" i="4"/>
  <c r="AC21" i="4"/>
  <c r="AD21" i="4"/>
  <c r="AE21" i="4"/>
  <c r="Z16" i="4"/>
  <c r="F12" i="18" s="1"/>
  <c r="Z17" i="4"/>
  <c r="F15" i="18" s="1"/>
  <c r="Z18" i="4"/>
  <c r="F16" i="18" s="1"/>
  <c r="AA16" i="4"/>
  <c r="G12" i="18" s="1"/>
  <c r="AA17" i="4"/>
  <c r="G15" i="18" s="1"/>
  <c r="AA18" i="4"/>
  <c r="G16" i="18" s="1"/>
  <c r="AB16" i="4"/>
  <c r="H12" i="18" s="1"/>
  <c r="AB17" i="4"/>
  <c r="H15" i="18" s="1"/>
  <c r="AB18" i="4"/>
  <c r="H16" i="18" s="1"/>
  <c r="AC16" i="4"/>
  <c r="I12" i="18" s="1"/>
  <c r="AC17" i="4"/>
  <c r="I15" i="18" s="1"/>
  <c r="AC18" i="4"/>
  <c r="I16" i="18" s="1"/>
  <c r="AD16" i="4"/>
  <c r="J12" i="18" s="1"/>
  <c r="AD17" i="4"/>
  <c r="J15" i="18" s="1"/>
  <c r="AD18" i="4"/>
  <c r="J16" i="18" s="1"/>
  <c r="AE16" i="4"/>
  <c r="K12" i="18" s="1"/>
  <c r="AE17" i="4"/>
  <c r="K15" i="18" s="1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AE30" i="4" l="1"/>
  <c r="K86" i="18"/>
  <c r="AD30" i="4"/>
  <c r="J86" i="18"/>
  <c r="AB30" i="4"/>
  <c r="H86" i="18"/>
  <c r="AC19" i="4"/>
  <c r="Z13" i="4"/>
  <c r="Y11" i="4"/>
  <c r="K96" i="18"/>
  <c r="J96" i="18"/>
  <c r="G96" i="18"/>
  <c r="E96" i="18" s="1"/>
  <c r="AB13" i="4"/>
  <c r="E12" i="18"/>
  <c r="AE19" i="4"/>
  <c r="Y15" i="4"/>
  <c r="Y26" i="4"/>
  <c r="E34" i="18"/>
  <c r="Y32" i="4"/>
  <c r="AD19" i="4"/>
  <c r="Z19" i="4"/>
  <c r="AD13" i="4"/>
  <c r="AC13" i="4"/>
  <c r="E15" i="18"/>
  <c r="Y16" i="4"/>
  <c r="AB19" i="4"/>
  <c r="AE27" i="4"/>
  <c r="K30" i="18"/>
  <c r="K37" i="18" s="1"/>
  <c r="AA27" i="4"/>
  <c r="G30" i="18"/>
  <c r="E31" i="18"/>
  <c r="Y23" i="4"/>
  <c r="Y29" i="4"/>
  <c r="F6" i="18"/>
  <c r="F8" i="18" s="1"/>
  <c r="K11" i="18"/>
  <c r="G11" i="18"/>
  <c r="AA13" i="4"/>
  <c r="AA19" i="4"/>
  <c r="AD27" i="4"/>
  <c r="J30" i="18"/>
  <c r="Z27" i="4"/>
  <c r="F30" i="18"/>
  <c r="Y22" i="4"/>
  <c r="J7" i="18"/>
  <c r="J8" i="18" s="1"/>
  <c r="J11" i="18"/>
  <c r="F11" i="18"/>
  <c r="Y12" i="4"/>
  <c r="AE13" i="4"/>
  <c r="Y18" i="4"/>
  <c r="AC27" i="4"/>
  <c r="I30" i="18"/>
  <c r="Y21" i="4"/>
  <c r="E33" i="18"/>
  <c r="Y25" i="4"/>
  <c r="I11" i="18"/>
  <c r="E16" i="18"/>
  <c r="Y17" i="4"/>
  <c r="AB27" i="4"/>
  <c r="H30" i="18"/>
  <c r="H37" i="18" s="1"/>
  <c r="E32" i="18"/>
  <c r="Y24" i="4"/>
  <c r="H8" i="18"/>
  <c r="K8" i="18"/>
  <c r="I8" i="18"/>
  <c r="E7" i="18"/>
  <c r="G8" i="18"/>
  <c r="Y30" i="4" l="1"/>
  <c r="E86" i="18"/>
  <c r="E11" i="18"/>
  <c r="Y27" i="4"/>
  <c r="E6" i="18"/>
  <c r="E8" i="18" s="1"/>
  <c r="Y19" i="4"/>
  <c r="E30" i="18"/>
  <c r="Y13" i="4"/>
  <c r="C45" i="4"/>
  <c r="C46" i="4"/>
  <c r="AE45" i="4"/>
  <c r="AD45" i="4"/>
  <c r="AC45" i="4"/>
  <c r="AB45" i="4"/>
  <c r="AA45" i="4"/>
  <c r="Z45" i="4"/>
  <c r="Y45" i="4"/>
  <c r="C52" i="8" l="1"/>
  <c r="C54" i="8"/>
  <c r="D17" i="20" l="1"/>
  <c r="D15" i="20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 l="1"/>
  <c r="C58" i="8"/>
  <c r="D21" i="20" s="1"/>
  <c r="C53" i="8" l="1"/>
  <c r="D16" i="20" s="1"/>
  <c r="C41" i="18"/>
  <c r="G17" i="18" l="1"/>
  <c r="J17" i="18"/>
  <c r="E17" i="18"/>
  <c r="C88" i="14" l="1"/>
  <c r="G38" i="8" l="1"/>
  <c r="C99" i="18"/>
  <c r="C98" i="18"/>
  <c r="C35" i="18"/>
  <c r="I94" i="18"/>
  <c r="G94" i="18"/>
  <c r="F94" i="18"/>
  <c r="C93" i="18"/>
  <c r="C92" i="18"/>
  <c r="C91" i="18"/>
  <c r="C90" i="18"/>
  <c r="C89" i="18"/>
  <c r="C88" i="18"/>
  <c r="C87" i="18"/>
  <c r="C86" i="18"/>
  <c r="C83" i="18"/>
  <c r="C82" i="18"/>
  <c r="C81" i="18"/>
  <c r="C80" i="18"/>
  <c r="C79" i="18"/>
  <c r="C78" i="18"/>
  <c r="C77" i="18"/>
  <c r="C76" i="18"/>
  <c r="C73" i="18"/>
  <c r="C72" i="18"/>
  <c r="C71" i="18"/>
  <c r="C70" i="18"/>
  <c r="C69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1" i="18"/>
  <c r="C50" i="18"/>
  <c r="C49" i="18"/>
  <c r="C48" i="18"/>
  <c r="C47" i="18"/>
  <c r="C46" i="18"/>
  <c r="C45" i="18"/>
  <c r="C44" i="18"/>
  <c r="C43" i="18"/>
  <c r="C42" i="18"/>
  <c r="C40" i="18"/>
  <c r="C39" i="18"/>
  <c r="C34" i="18"/>
  <c r="C33" i="18"/>
  <c r="C32" i="18"/>
  <c r="C31" i="18"/>
  <c r="C30" i="18"/>
  <c r="C25" i="18"/>
  <c r="C24" i="18"/>
  <c r="C23" i="18"/>
  <c r="C22" i="18"/>
  <c r="C21" i="18"/>
  <c r="C20" i="18"/>
  <c r="C15" i="18"/>
  <c r="C17" i="4" s="1"/>
  <c r="C14" i="18"/>
  <c r="C13" i="18"/>
  <c r="C12" i="18"/>
  <c r="C11" i="18"/>
  <c r="C7" i="18"/>
  <c r="C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4" i="18" s="1"/>
  <c r="AB21" i="10"/>
  <c r="AA21" i="10"/>
  <c r="Z21" i="10"/>
  <c r="X22" i="13" l="1"/>
  <c r="X26" i="13" s="1"/>
  <c r="W22" i="13"/>
  <c r="W26" i="13" s="1"/>
  <c r="V22" i="13"/>
  <c r="V26" i="13" s="1"/>
  <c r="U22" i="13"/>
  <c r="U26" i="13" s="1"/>
  <c r="T22" i="13"/>
  <c r="T26" i="13" s="1"/>
  <c r="S22" i="13"/>
  <c r="S26" i="13" s="1"/>
  <c r="R22" i="13"/>
  <c r="R26" i="13" s="1"/>
  <c r="Q22" i="13"/>
  <c r="Q26" i="13" s="1"/>
  <c r="P22" i="13"/>
  <c r="P26" i="13" s="1"/>
  <c r="O22" i="13"/>
  <c r="O26" i="13" s="1"/>
  <c r="N22" i="13"/>
  <c r="N26" i="13" s="1"/>
  <c r="M22" i="13"/>
  <c r="M26" i="13" s="1"/>
  <c r="L22" i="13"/>
  <c r="L26" i="13" s="1"/>
  <c r="K22" i="13"/>
  <c r="K26" i="13" s="1"/>
  <c r="J22" i="13"/>
  <c r="J26" i="13" s="1"/>
  <c r="AE21" i="13"/>
  <c r="AE22" i="13" s="1"/>
  <c r="AD21" i="13"/>
  <c r="AD22" i="13" s="1"/>
  <c r="AC21" i="13"/>
  <c r="AC22" i="13" s="1"/>
  <c r="AB21" i="13"/>
  <c r="AB22" i="13" s="1"/>
  <c r="AA21" i="13"/>
  <c r="AA22" i="13" s="1"/>
  <c r="Z21" i="13"/>
  <c r="Z22" i="13" s="1"/>
  <c r="Y21" i="13"/>
  <c r="Y22" i="13" s="1"/>
  <c r="C21" i="13"/>
  <c r="C76" i="14" l="1"/>
  <c r="C16" i="13" s="1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8" s="1"/>
  <c r="C13" i="14"/>
  <c r="C12" i="8" s="1"/>
  <c r="C12" i="14"/>
  <c r="C16" i="4" s="1"/>
  <c r="C11" i="14"/>
  <c r="C15" i="4" s="1"/>
  <c r="C95" i="14"/>
  <c r="C94" i="14"/>
  <c r="C93" i="14"/>
  <c r="C92" i="14"/>
  <c r="C96" i="14"/>
  <c r="C36" i="14"/>
  <c r="C18" i="9" s="1"/>
  <c r="C41" i="14"/>
  <c r="C42" i="14"/>
  <c r="C19" i="9" s="1"/>
  <c r="C43" i="14"/>
  <c r="C16" i="10" s="1"/>
  <c r="C45" i="14"/>
  <c r="C20" i="9" s="1"/>
  <c r="C46" i="14"/>
  <c r="C18" i="10" s="1"/>
  <c r="C49" i="14"/>
  <c r="C61" i="14"/>
  <c r="C23" i="10" s="1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F60" i="5"/>
  <c r="AE60" i="5"/>
  <c r="AA60" i="5"/>
  <c r="Z60" i="5"/>
  <c r="AF59" i="5"/>
  <c r="AE59" i="5"/>
  <c r="AA59" i="5"/>
  <c r="Z59" i="5"/>
  <c r="D63" i="5" l="1"/>
  <c r="D66" i="20"/>
  <c r="D60" i="5"/>
  <c r="D62" i="20"/>
  <c r="D61" i="5"/>
  <c r="D59" i="5"/>
  <c r="D61" i="20"/>
  <c r="AE24" i="13"/>
  <c r="AE25" i="13" s="1"/>
  <c r="AD24" i="13"/>
  <c r="AD25" i="13" s="1"/>
  <c r="AC24" i="13"/>
  <c r="AC25" i="13" s="1"/>
  <c r="AB24" i="13"/>
  <c r="AB25" i="13" s="1"/>
  <c r="AA24" i="13"/>
  <c r="AA25" i="13" s="1"/>
  <c r="Z24" i="13"/>
  <c r="Z25" i="13" s="1"/>
  <c r="Y24" i="13"/>
  <c r="Y25" i="13" s="1"/>
  <c r="C65" i="8"/>
  <c r="C64" i="8"/>
  <c r="C63" i="8"/>
  <c r="C62" i="8"/>
  <c r="C66" i="8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3" i="18" s="1"/>
  <c r="AD18" i="13"/>
  <c r="J83" i="18" s="1"/>
  <c r="AC18" i="13"/>
  <c r="I83" i="18" s="1"/>
  <c r="AB18" i="13"/>
  <c r="H83" i="18" s="1"/>
  <c r="AA18" i="13"/>
  <c r="G83" i="18" s="1"/>
  <c r="Z18" i="13"/>
  <c r="F83" i="18" s="1"/>
  <c r="Y18" i="13"/>
  <c r="K127" i="18"/>
  <c r="J127" i="18"/>
  <c r="I127" i="18"/>
  <c r="H127" i="18"/>
  <c r="G127" i="18"/>
  <c r="K99" i="14"/>
  <c r="F127" i="18" l="1"/>
  <c r="E127" i="18" s="1"/>
  <c r="E83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H62" i="18"/>
  <c r="C72" i="14"/>
  <c r="C12" i="13" s="1"/>
  <c r="C73" i="14"/>
  <c r="C13" i="13" s="1"/>
  <c r="C74" i="14"/>
  <c r="C14" i="13" s="1"/>
  <c r="C75" i="14"/>
  <c r="C15" i="13" s="1"/>
  <c r="C77" i="14"/>
  <c r="C17" i="13" s="1"/>
  <c r="C78" i="14"/>
  <c r="C18" i="13" s="1"/>
  <c r="C71" i="14"/>
  <c r="C11" i="13" s="1"/>
  <c r="C82" i="14"/>
  <c r="C83" i="14"/>
  <c r="C84" i="14"/>
  <c r="C85" i="14"/>
  <c r="C86" i="14"/>
  <c r="C87" i="14"/>
  <c r="C81" i="14"/>
  <c r="C65" i="14"/>
  <c r="C28" i="8" s="1"/>
  <c r="C66" i="14"/>
  <c r="C29" i="8" s="1"/>
  <c r="C67" i="14"/>
  <c r="C68" i="14"/>
  <c r="C64" i="14"/>
  <c r="C27" i="8" s="1"/>
  <c r="C21" i="14"/>
  <c r="C17" i="8" s="1"/>
  <c r="C22" i="14"/>
  <c r="C18" i="8" s="1"/>
  <c r="C23" i="14"/>
  <c r="C19" i="8" s="1"/>
  <c r="C24" i="14"/>
  <c r="C11" i="9" s="1"/>
  <c r="C25" i="14"/>
  <c r="C20" i="14"/>
  <c r="C16" i="8" s="1"/>
  <c r="C10" i="14"/>
  <c r="C7" i="14"/>
  <c r="C12" i="4" s="1"/>
  <c r="C6" i="14"/>
  <c r="C11" i="4" s="1"/>
  <c r="C29" i="14"/>
  <c r="C22" i="4" s="1"/>
  <c r="C30" i="14"/>
  <c r="C23" i="4" s="1"/>
  <c r="C31" i="14"/>
  <c r="C24" i="4" s="1"/>
  <c r="C32" i="14"/>
  <c r="C25" i="4" s="1"/>
  <c r="C28" i="14"/>
  <c r="C21" i="4" s="1"/>
  <c r="C37" i="14"/>
  <c r="C38" i="14"/>
  <c r="C39" i="14"/>
  <c r="C40" i="14"/>
  <c r="C44" i="14"/>
  <c r="C35" i="14"/>
  <c r="C16" i="9" s="1"/>
  <c r="C91" i="14"/>
  <c r="K128" i="14" l="1"/>
  <c r="F128" i="14"/>
  <c r="I128" i="14"/>
  <c r="E128" i="14"/>
  <c r="J128" i="14"/>
  <c r="H128" i="14"/>
  <c r="G128" i="14"/>
  <c r="C44" i="10"/>
  <c r="C47" i="4"/>
  <c r="D10" i="5"/>
  <c r="D9" i="5"/>
  <c r="D33" i="5" l="1"/>
  <c r="D35" i="20"/>
  <c r="D13" i="5"/>
  <c r="D25" i="20"/>
  <c r="D11" i="5"/>
  <c r="D10" i="20"/>
  <c r="D12" i="5"/>
  <c r="D11" i="20"/>
  <c r="C52" i="9"/>
  <c r="C51" i="9"/>
  <c r="C50" i="9"/>
  <c r="C49" i="9"/>
  <c r="C48" i="9"/>
  <c r="C45" i="9"/>
  <c r="C44" i="9"/>
  <c r="AE12" i="13"/>
  <c r="K77" i="18" s="1"/>
  <c r="AE13" i="13"/>
  <c r="K78" i="18" s="1"/>
  <c r="AE14" i="13"/>
  <c r="K79" i="18" s="1"/>
  <c r="AE15" i="13"/>
  <c r="K80" i="18" s="1"/>
  <c r="AE16" i="13"/>
  <c r="K81" i="18" s="1"/>
  <c r="AE17" i="13"/>
  <c r="K82" i="18" s="1"/>
  <c r="AD12" i="13"/>
  <c r="J77" i="18" s="1"/>
  <c r="AD13" i="13"/>
  <c r="J78" i="18" s="1"/>
  <c r="AD14" i="13"/>
  <c r="J79" i="18" s="1"/>
  <c r="AD15" i="13"/>
  <c r="J80" i="18" s="1"/>
  <c r="AD16" i="13"/>
  <c r="J81" i="18" s="1"/>
  <c r="AD17" i="13"/>
  <c r="J82" i="18" s="1"/>
  <c r="AC12" i="13"/>
  <c r="I77" i="18" s="1"/>
  <c r="AC13" i="13"/>
  <c r="I78" i="18" s="1"/>
  <c r="AC14" i="13"/>
  <c r="I79" i="18" s="1"/>
  <c r="AC15" i="13"/>
  <c r="I80" i="18" s="1"/>
  <c r="AC16" i="13"/>
  <c r="I81" i="18" s="1"/>
  <c r="AC17" i="13"/>
  <c r="I82" i="18" s="1"/>
  <c r="AB12" i="13"/>
  <c r="H77" i="18" s="1"/>
  <c r="AB13" i="13"/>
  <c r="H78" i="18" s="1"/>
  <c r="AB14" i="13"/>
  <c r="H79" i="18" s="1"/>
  <c r="AB15" i="13"/>
  <c r="H80" i="18" s="1"/>
  <c r="AB16" i="13"/>
  <c r="H81" i="18" s="1"/>
  <c r="AB17" i="13"/>
  <c r="H82" i="18" s="1"/>
  <c r="AA12" i="13"/>
  <c r="G77" i="18" s="1"/>
  <c r="AA13" i="13"/>
  <c r="G78" i="18" s="1"/>
  <c r="AA14" i="13"/>
  <c r="G79" i="18" s="1"/>
  <c r="AA15" i="13"/>
  <c r="G80" i="18" s="1"/>
  <c r="AA16" i="13"/>
  <c r="G81" i="18" s="1"/>
  <c r="AA17" i="13"/>
  <c r="G82" i="18" s="1"/>
  <c r="Z12" i="13"/>
  <c r="F77" i="18" s="1"/>
  <c r="Z13" i="13"/>
  <c r="F78" i="18" s="1"/>
  <c r="Z14" i="13"/>
  <c r="F79" i="18" s="1"/>
  <c r="E79" i="18" s="1"/>
  <c r="Z15" i="13"/>
  <c r="F80" i="18" s="1"/>
  <c r="Z16" i="13"/>
  <c r="F81" i="18" s="1"/>
  <c r="Z17" i="13"/>
  <c r="F82" i="18" s="1"/>
  <c r="Y12" i="13"/>
  <c r="Y13" i="13"/>
  <c r="Y14" i="13"/>
  <c r="Y15" i="13"/>
  <c r="Y16" i="13"/>
  <c r="Y17" i="13"/>
  <c r="E78" i="18" l="1"/>
  <c r="E82" i="18"/>
  <c r="E81" i="18"/>
  <c r="E77" i="18"/>
  <c r="E80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D11" i="13"/>
  <c r="AC11" i="13"/>
  <c r="AB11" i="13"/>
  <c r="AA11" i="13"/>
  <c r="Z11" i="13"/>
  <c r="Y11" i="13"/>
  <c r="Y19" i="13" s="1"/>
  <c r="Y26" i="13" s="1"/>
  <c r="AD19" i="13" l="1"/>
  <c r="AD26" i="13" s="1"/>
  <c r="J76" i="18"/>
  <c r="J84" i="18" s="1"/>
  <c r="AC19" i="13"/>
  <c r="AC26" i="13" s="1"/>
  <c r="I76" i="18"/>
  <c r="I84" i="18" s="1"/>
  <c r="AA19" i="13"/>
  <c r="AA26" i="13" s="1"/>
  <c r="G76" i="18"/>
  <c r="G84" i="18" s="1"/>
  <c r="Z19" i="13"/>
  <c r="Z26" i="13" s="1"/>
  <c r="F76" i="18"/>
  <c r="AE19" i="13"/>
  <c r="AE26" i="13" s="1"/>
  <c r="K76" i="18"/>
  <c r="K84" i="18" s="1"/>
  <c r="AB19" i="13"/>
  <c r="AB26" i="13" s="1"/>
  <c r="H76" i="18"/>
  <c r="H84" i="18" s="1"/>
  <c r="AE44" i="10"/>
  <c r="AF33" i="5" s="1"/>
  <c r="AE45" i="10"/>
  <c r="AF34" i="5" s="1"/>
  <c r="AF35" i="5"/>
  <c r="AE47" i="10"/>
  <c r="AF36" i="5" s="1"/>
  <c r="AE48" i="10"/>
  <c r="AF37" i="5" s="1"/>
  <c r="AE49" i="10"/>
  <c r="AF38" i="5" s="1"/>
  <c r="AE50" i="10"/>
  <c r="AF39" i="5" s="1"/>
  <c r="AE51" i="10"/>
  <c r="AF40" i="5" s="1"/>
  <c r="AD44" i="10"/>
  <c r="AE33" i="5" s="1"/>
  <c r="AD45" i="10"/>
  <c r="AE34" i="5" s="1"/>
  <c r="AD46" i="10"/>
  <c r="AE35" i="5" s="1"/>
  <c r="AD47" i="10"/>
  <c r="AE36" i="5" s="1"/>
  <c r="AD48" i="10"/>
  <c r="AE37" i="5" s="1"/>
  <c r="AD49" i="10"/>
  <c r="AE38" i="5" s="1"/>
  <c r="AD50" i="10"/>
  <c r="AE39" i="5" s="1"/>
  <c r="AD51" i="10"/>
  <c r="AE40" i="5" s="1"/>
  <c r="AC44" i="10"/>
  <c r="AC45" i="10"/>
  <c r="AC46" i="10"/>
  <c r="AC47" i="10"/>
  <c r="AC48" i="10"/>
  <c r="AC49" i="10"/>
  <c r="AC50" i="10"/>
  <c r="AB44" i="10"/>
  <c r="AB45" i="10"/>
  <c r="AB46" i="10"/>
  <c r="AB47" i="10"/>
  <c r="AB48" i="10"/>
  <c r="AB49" i="10"/>
  <c r="AB50" i="10"/>
  <c r="AB51" i="10"/>
  <c r="AA44" i="10"/>
  <c r="AA45" i="10"/>
  <c r="AA46" i="10"/>
  <c r="AA47" i="10"/>
  <c r="AA48" i="10"/>
  <c r="AA49" i="10"/>
  <c r="AA50" i="10"/>
  <c r="AA51" i="10"/>
  <c r="Z44" i="10"/>
  <c r="AA33" i="5" s="1"/>
  <c r="Z45" i="10"/>
  <c r="AA34" i="5" s="1"/>
  <c r="Z46" i="10"/>
  <c r="AA35" i="5" s="1"/>
  <c r="Z47" i="10"/>
  <c r="AA36" i="5" s="1"/>
  <c r="Z48" i="10"/>
  <c r="AA37" i="5" s="1"/>
  <c r="Z49" i="10"/>
  <c r="AA38" i="5" s="1"/>
  <c r="Z50" i="10"/>
  <c r="AA39" i="5" s="1"/>
  <c r="Z51" i="10"/>
  <c r="AA40" i="5" s="1"/>
  <c r="Y44" i="10"/>
  <c r="Z33" i="5" s="1"/>
  <c r="Y45" i="10"/>
  <c r="Z34" i="5" s="1"/>
  <c r="Y46" i="10"/>
  <c r="Z35" i="5" s="1"/>
  <c r="Y47" i="10"/>
  <c r="Z36" i="5" s="1"/>
  <c r="Y48" i="10"/>
  <c r="Z37" i="5" s="1"/>
  <c r="Y49" i="10"/>
  <c r="Z38" i="5" s="1"/>
  <c r="Y50" i="10"/>
  <c r="Z39" i="5" s="1"/>
  <c r="Y51" i="10"/>
  <c r="Z40" i="5" s="1"/>
  <c r="AB48" i="9"/>
  <c r="Y48" i="9"/>
  <c r="Z26" i="5" s="1"/>
  <c r="AF25" i="5"/>
  <c r="AE48" i="9"/>
  <c r="AF26" i="5" s="1"/>
  <c r="AE49" i="9"/>
  <c r="AF27" i="5" s="1"/>
  <c r="AE50" i="9"/>
  <c r="AF28" i="5" s="1"/>
  <c r="AE51" i="9"/>
  <c r="AF29" i="5" s="1"/>
  <c r="AE52" i="9"/>
  <c r="AF30" i="5" s="1"/>
  <c r="AE25" i="5"/>
  <c r="AD48" i="9"/>
  <c r="AE26" i="5" s="1"/>
  <c r="AD49" i="9"/>
  <c r="AE27" i="5" s="1"/>
  <c r="AD50" i="9"/>
  <c r="AE28" i="5" s="1"/>
  <c r="AD51" i="9"/>
  <c r="AE29" i="5" s="1"/>
  <c r="AD52" i="9"/>
  <c r="AE30" i="5" s="1"/>
  <c r="AC48" i="9"/>
  <c r="AC49" i="9"/>
  <c r="AC50" i="9"/>
  <c r="AC51" i="9"/>
  <c r="AC52" i="9"/>
  <c r="AB49" i="9"/>
  <c r="AB50" i="9"/>
  <c r="AB51" i="9"/>
  <c r="AB52" i="9"/>
  <c r="AA48" i="9"/>
  <c r="AB26" i="5" s="1"/>
  <c r="AA49" i="9"/>
  <c r="AB27" i="5" s="1"/>
  <c r="AA50" i="9"/>
  <c r="AA51" i="9"/>
  <c r="AA52" i="9"/>
  <c r="AA25" i="5"/>
  <c r="Z48" i="9"/>
  <c r="AA26" i="5" s="1"/>
  <c r="Z49" i="9"/>
  <c r="AA27" i="5" s="1"/>
  <c r="Z50" i="9"/>
  <c r="AA28" i="5" s="1"/>
  <c r="Z51" i="9"/>
  <c r="AA29" i="5" s="1"/>
  <c r="Z52" i="9"/>
  <c r="AA30" i="5" s="1"/>
  <c r="Y45" i="9"/>
  <c r="Z25" i="5" s="1"/>
  <c r="Y49" i="9"/>
  <c r="Z27" i="5" s="1"/>
  <c r="Y50" i="9"/>
  <c r="Z28" i="5" s="1"/>
  <c r="Y51" i="9"/>
  <c r="Z29" i="5" s="1"/>
  <c r="Y52" i="9"/>
  <c r="Z30" i="5" s="1"/>
  <c r="F84" i="18" l="1"/>
  <c r="E76" i="18"/>
  <c r="E84" i="18" s="1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62" i="5"/>
  <c r="AB43" i="5"/>
  <c r="AB44" i="5"/>
  <c r="AB45" i="5"/>
  <c r="AB46" i="5"/>
  <c r="AB47" i="5"/>
  <c r="AB48" i="5"/>
  <c r="AB49" i="5"/>
  <c r="AB50" i="5"/>
  <c r="AB51" i="5"/>
  <c r="AB52" i="5"/>
  <c r="AB53" i="5"/>
  <c r="AB6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62" i="5"/>
  <c r="Z42" i="5"/>
  <c r="D62" i="5"/>
  <c r="AF42" i="5"/>
  <c r="AE42" i="5"/>
  <c r="AB42" i="5"/>
  <c r="AA42" i="5"/>
  <c r="C49" i="10"/>
  <c r="C48" i="10"/>
  <c r="C47" i="10"/>
  <c r="C46" i="10"/>
  <c r="AC51" i="10"/>
  <c r="C51" i="10"/>
  <c r="C50" i="10"/>
  <c r="C45" i="10"/>
  <c r="AE43" i="10"/>
  <c r="AF32" i="5" s="1"/>
  <c r="AD43" i="10"/>
  <c r="AE32" i="5" s="1"/>
  <c r="AC43" i="10"/>
  <c r="AB43" i="10"/>
  <c r="AA43" i="10"/>
  <c r="Z43" i="10"/>
  <c r="AA32" i="5" s="1"/>
  <c r="Y43" i="10"/>
  <c r="Z32" i="5" s="1"/>
  <c r="C43" i="10"/>
  <c r="K116" i="18"/>
  <c r="K117" i="18"/>
  <c r="J116" i="18"/>
  <c r="J117" i="18"/>
  <c r="I116" i="18"/>
  <c r="I117" i="18"/>
  <c r="H116" i="18"/>
  <c r="H117" i="18"/>
  <c r="G116" i="18"/>
  <c r="G117" i="18"/>
  <c r="E117" i="18" s="1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C57" i="8"/>
  <c r="C56" i="8"/>
  <c r="C55" i="8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D17" i="5"/>
  <c r="AF16" i="5"/>
  <c r="AE16" i="5"/>
  <c r="AA16" i="5"/>
  <c r="Z16" i="5"/>
  <c r="AE41" i="8"/>
  <c r="K107" i="18" s="1"/>
  <c r="AD41" i="8"/>
  <c r="AC41" i="8"/>
  <c r="AE40" i="8"/>
  <c r="AD40" i="8"/>
  <c r="J106" i="18" s="1"/>
  <c r="AC40" i="8"/>
  <c r="AB40" i="8"/>
  <c r="AA40" i="8"/>
  <c r="Z40" i="8"/>
  <c r="AE50" i="8"/>
  <c r="AF15" i="5" s="1"/>
  <c r="AD50" i="8"/>
  <c r="AE15" i="5" s="1"/>
  <c r="AC50" i="8"/>
  <c r="AB50" i="8"/>
  <c r="AA50" i="8"/>
  <c r="AA15" i="5"/>
  <c r="Y50" i="8"/>
  <c r="Z15" i="5" s="1"/>
  <c r="E116" i="18" l="1"/>
  <c r="I107" i="18"/>
  <c r="E107" i="18" s="1"/>
  <c r="Y41" i="8"/>
  <c r="I106" i="18"/>
  <c r="F106" i="18"/>
  <c r="Z45" i="8"/>
  <c r="H106" i="18"/>
  <c r="AB45" i="8"/>
  <c r="G106" i="18"/>
  <c r="AA45" i="8"/>
  <c r="K106" i="18"/>
  <c r="J107" i="18"/>
  <c r="Y40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30" i="10"/>
  <c r="C29" i="9"/>
  <c r="AE34" i="4"/>
  <c r="K98" i="18" s="1"/>
  <c r="AD34" i="4"/>
  <c r="J98" i="18" s="1"/>
  <c r="AC34" i="4"/>
  <c r="I98" i="18" s="1"/>
  <c r="AB34" i="4"/>
  <c r="H98" i="18" s="1"/>
  <c r="AA34" i="4"/>
  <c r="G98" i="18" s="1"/>
  <c r="Z34" i="4"/>
  <c r="AE33" i="4"/>
  <c r="AD33" i="4"/>
  <c r="AC33" i="4"/>
  <c r="AB33" i="4"/>
  <c r="AA33" i="4"/>
  <c r="Z33" i="4"/>
  <c r="AF9" i="5"/>
  <c r="AF10" i="5"/>
  <c r="AE46" i="4"/>
  <c r="AF11" i="5" s="1"/>
  <c r="AE47" i="4"/>
  <c r="AF12" i="5" s="1"/>
  <c r="AF13" i="5"/>
  <c r="AE9" i="5"/>
  <c r="AE10" i="5"/>
  <c r="AD46" i="4"/>
  <c r="AE11" i="5" s="1"/>
  <c r="AD47" i="4"/>
  <c r="AE12" i="5" s="1"/>
  <c r="AE13" i="5"/>
  <c r="AC46" i="4"/>
  <c r="AC47" i="4"/>
  <c r="AB46" i="4"/>
  <c r="AB47" i="4"/>
  <c r="AA46" i="4"/>
  <c r="AA47" i="4"/>
  <c r="AA9" i="5"/>
  <c r="AA10" i="5"/>
  <c r="Z46" i="4"/>
  <c r="AA11" i="5" s="1"/>
  <c r="Z47" i="4"/>
  <c r="AA12" i="5" s="1"/>
  <c r="AA13" i="5"/>
  <c r="AE44" i="4"/>
  <c r="AD44" i="4"/>
  <c r="AC44" i="4"/>
  <c r="AB44" i="4"/>
  <c r="AA44" i="4"/>
  <c r="Z44" i="4"/>
  <c r="Z9" i="5"/>
  <c r="Z10" i="5"/>
  <c r="Y46" i="4"/>
  <c r="Z11" i="5" s="1"/>
  <c r="Y47" i="4"/>
  <c r="Z12" i="5" s="1"/>
  <c r="Z13" i="5"/>
  <c r="Y44" i="4"/>
  <c r="C44" i="4"/>
  <c r="H105" i="18"/>
  <c r="AD39" i="4"/>
  <c r="J105" i="18" s="1"/>
  <c r="AD38" i="4"/>
  <c r="J104" i="18" s="1"/>
  <c r="AE39" i="4"/>
  <c r="K105" i="18" s="1"/>
  <c r="AE38" i="4"/>
  <c r="K104" i="18" s="1"/>
  <c r="AD35" i="4"/>
  <c r="J99" i="18" s="1"/>
  <c r="AC39" i="4"/>
  <c r="I105" i="18" s="1"/>
  <c r="Z39" i="4"/>
  <c r="AC38" i="4"/>
  <c r="I104" i="18" s="1"/>
  <c r="Z38" i="4"/>
  <c r="H104" i="18"/>
  <c r="AE35" i="4"/>
  <c r="K99" i="18" s="1"/>
  <c r="AC35" i="4"/>
  <c r="AB35" i="4"/>
  <c r="AA35" i="4"/>
  <c r="G99" i="18" s="1"/>
  <c r="Z35" i="4"/>
  <c r="E106" i="18" l="1"/>
  <c r="AC36" i="4"/>
  <c r="Z36" i="4"/>
  <c r="AD36" i="4"/>
  <c r="AA36" i="4"/>
  <c r="AE36" i="4"/>
  <c r="AB36" i="4"/>
  <c r="H100" i="18" s="1"/>
  <c r="Y39" i="4"/>
  <c r="F105" i="18"/>
  <c r="E105" i="18" s="1"/>
  <c r="Y38" i="4"/>
  <c r="F104" i="18"/>
  <c r="E104" i="18" s="1"/>
  <c r="G97" i="18"/>
  <c r="K97" i="18"/>
  <c r="H97" i="18"/>
  <c r="Y34" i="4"/>
  <c r="F98" i="18"/>
  <c r="E98" i="18" s="1"/>
  <c r="Y35" i="4"/>
  <c r="E99" i="18" s="1"/>
  <c r="I97" i="18"/>
  <c r="Y33" i="4"/>
  <c r="F97" i="18"/>
  <c r="J97" i="18"/>
  <c r="AC40" i="4"/>
  <c r="AC41" i="4" s="1"/>
  <c r="Z40" i="4"/>
  <c r="Z41" i="4" s="1"/>
  <c r="AE40" i="4"/>
  <c r="AE41" i="4" s="1"/>
  <c r="AD40" i="4"/>
  <c r="AA40" i="4"/>
  <c r="R39" i="10"/>
  <c r="X31" i="10"/>
  <c r="W31" i="10"/>
  <c r="V31" i="10"/>
  <c r="U31" i="10"/>
  <c r="T31" i="10"/>
  <c r="S31" i="10"/>
  <c r="R31" i="10"/>
  <c r="Q31" i="10"/>
  <c r="P31" i="10"/>
  <c r="P40" i="10" s="1"/>
  <c r="O31" i="10"/>
  <c r="N31" i="10"/>
  <c r="N40" i="10" s="1"/>
  <c r="M31" i="10"/>
  <c r="M40" i="10" s="1"/>
  <c r="L31" i="10"/>
  <c r="L40" i="10" s="1"/>
  <c r="K31" i="10"/>
  <c r="K40" i="10" s="1"/>
  <c r="J31" i="10"/>
  <c r="J40" i="10" s="1"/>
  <c r="I31" i="10"/>
  <c r="I40" i="10" s="1"/>
  <c r="H31" i="10"/>
  <c r="G31" i="10"/>
  <c r="AE30" i="10"/>
  <c r="AE31" i="10" s="1"/>
  <c r="AD30" i="10"/>
  <c r="AD31" i="10" s="1"/>
  <c r="AC30" i="10"/>
  <c r="AC31" i="10" s="1"/>
  <c r="AB30" i="10"/>
  <c r="AB31" i="10" s="1"/>
  <c r="AA30" i="10"/>
  <c r="Z30" i="10"/>
  <c r="Z31" i="10" s="1"/>
  <c r="AE29" i="9"/>
  <c r="AD29" i="9"/>
  <c r="AC29" i="9"/>
  <c r="AB29" i="9"/>
  <c r="AA29" i="9"/>
  <c r="Z29" i="9"/>
  <c r="AE37" i="8"/>
  <c r="K101" i="18" s="1"/>
  <c r="AD37" i="8"/>
  <c r="J101" i="18" s="1"/>
  <c r="AC37" i="8"/>
  <c r="AB38" i="8"/>
  <c r="AC36" i="8"/>
  <c r="AE36" i="8"/>
  <c r="K100" i="18" s="1"/>
  <c r="AD36" i="8"/>
  <c r="J100" i="18" s="1"/>
  <c r="Z38" i="8"/>
  <c r="AD23" i="8"/>
  <c r="AC23" i="8"/>
  <c r="AB23" i="8"/>
  <c r="AB25" i="8" s="1"/>
  <c r="AA23" i="8"/>
  <c r="Z23" i="8"/>
  <c r="F35" i="18" s="1"/>
  <c r="F37" i="18" s="1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G30" i="8"/>
  <c r="AE28" i="8"/>
  <c r="K70" i="18" s="1"/>
  <c r="AD28" i="8"/>
  <c r="J70" i="18" s="1"/>
  <c r="AC28" i="8"/>
  <c r="AE29" i="8"/>
  <c r="K71" i="18" s="1"/>
  <c r="AD29" i="8"/>
  <c r="J71" i="18" s="1"/>
  <c r="AC29" i="8"/>
  <c r="AE27" i="8"/>
  <c r="K69" i="18" s="1"/>
  <c r="AD27" i="8"/>
  <c r="J69" i="18" s="1"/>
  <c r="AC27" i="8"/>
  <c r="I69" i="18" s="1"/>
  <c r="AB27" i="8"/>
  <c r="H69" i="18" s="1"/>
  <c r="AA27" i="8"/>
  <c r="G69" i="18" s="1"/>
  <c r="Z27" i="8"/>
  <c r="AE20" i="9"/>
  <c r="K50" i="18" s="1"/>
  <c r="AD20" i="9"/>
  <c r="J50" i="18" s="1"/>
  <c r="AC20" i="9"/>
  <c r="I50" i="18" s="1"/>
  <c r="AB20" i="9"/>
  <c r="H50" i="18" s="1"/>
  <c r="AA20" i="9"/>
  <c r="G50" i="18" s="1"/>
  <c r="Z20" i="9"/>
  <c r="AE19" i="9"/>
  <c r="K47" i="18" s="1"/>
  <c r="AD19" i="9"/>
  <c r="J47" i="18" s="1"/>
  <c r="AC19" i="9"/>
  <c r="I47" i="18" s="1"/>
  <c r="AB19" i="9"/>
  <c r="H47" i="18" s="1"/>
  <c r="AA19" i="9"/>
  <c r="G47" i="18" s="1"/>
  <c r="Z19" i="9"/>
  <c r="Y36" i="8" l="1"/>
  <c r="I100" i="18"/>
  <c r="E100" i="18" s="1"/>
  <c r="H102" i="18"/>
  <c r="AC25" i="8"/>
  <c r="I35" i="18"/>
  <c r="I37" i="18" s="1"/>
  <c r="Y37" i="8"/>
  <c r="I101" i="18"/>
  <c r="E101" i="18" s="1"/>
  <c r="Y27" i="8"/>
  <c r="F69" i="18"/>
  <c r="E69" i="18" s="1"/>
  <c r="AD38" i="8"/>
  <c r="AC38" i="8"/>
  <c r="Y28" i="8"/>
  <c r="I70" i="18"/>
  <c r="E70" i="18" s="1"/>
  <c r="AA25" i="8"/>
  <c r="G35" i="18"/>
  <c r="Y29" i="8"/>
  <c r="I71" i="18"/>
  <c r="E71" i="18" s="1"/>
  <c r="Z25" i="8"/>
  <c r="Y23" i="8"/>
  <c r="Y25" i="8" s="1"/>
  <c r="AD25" i="8"/>
  <c r="J35" i="18"/>
  <c r="J37" i="18" s="1"/>
  <c r="AE38" i="8"/>
  <c r="AD41" i="4"/>
  <c r="AA41" i="4"/>
  <c r="AA31" i="10"/>
  <c r="Y30" i="10"/>
  <c r="Y31" i="10" s="1"/>
  <c r="Y29" i="9"/>
  <c r="Y38" i="8"/>
  <c r="AA38" i="8"/>
  <c r="F50" i="18"/>
  <c r="E50" i="18" s="1"/>
  <c r="Y20" i="9"/>
  <c r="F47" i="18"/>
  <c r="E47" i="18" s="1"/>
  <c r="Y19" i="9"/>
  <c r="F102" i="18"/>
  <c r="Y36" i="4"/>
  <c r="E97" i="18"/>
  <c r="G102" i="18"/>
  <c r="K102" i="18"/>
  <c r="Y30" i="8"/>
  <c r="AC30" i="8"/>
  <c r="Z30" i="8"/>
  <c r="AD30" i="8"/>
  <c r="AA30" i="8"/>
  <c r="AE30" i="8"/>
  <c r="AB30" i="8"/>
  <c r="E35" i="18" l="1"/>
  <c r="E37" i="18" s="1"/>
  <c r="G37" i="18"/>
  <c r="J102" i="18"/>
  <c r="E102" i="18"/>
  <c r="C21" i="10"/>
  <c r="C26" i="10"/>
  <c r="C29" i="4"/>
  <c r="C22" i="10" l="1"/>
  <c r="C12" i="10"/>
  <c r="C13" i="10"/>
  <c r="C14" i="10"/>
  <c r="C15" i="10"/>
  <c r="C17" i="10"/>
  <c r="C11" i="10"/>
  <c r="C26" i="9"/>
  <c r="C23" i="9"/>
  <c r="C33" i="8"/>
  <c r="C32" i="8"/>
  <c r="I72" i="18" l="1"/>
  <c r="H73" i="18"/>
  <c r="H72" i="18"/>
  <c r="G73" i="18"/>
  <c r="G72" i="18"/>
  <c r="I56" i="18"/>
  <c r="I57" i="18"/>
  <c r="I58" i="18"/>
  <c r="I59" i="18"/>
  <c r="I60" i="18"/>
  <c r="I61" i="18"/>
  <c r="I62" i="18"/>
  <c r="I63" i="18"/>
  <c r="I65" i="18"/>
  <c r="I64" i="18"/>
  <c r="I46" i="18"/>
  <c r="H56" i="18"/>
  <c r="H57" i="18"/>
  <c r="H58" i="18"/>
  <c r="H59" i="18"/>
  <c r="H60" i="18"/>
  <c r="H61" i="18"/>
  <c r="H63" i="18"/>
  <c r="H65" i="18"/>
  <c r="H64" i="18"/>
  <c r="H46" i="18"/>
  <c r="G56" i="18"/>
  <c r="G57" i="18"/>
  <c r="G58" i="18"/>
  <c r="G59" i="18"/>
  <c r="G60" i="18"/>
  <c r="G61" i="18"/>
  <c r="G62" i="18"/>
  <c r="G63" i="18"/>
  <c r="G65" i="18"/>
  <c r="G64" i="18"/>
  <c r="G55" i="18"/>
  <c r="G46" i="18"/>
  <c r="K124" i="18"/>
  <c r="K125" i="18"/>
  <c r="K126" i="18"/>
  <c r="J126" i="18"/>
  <c r="I124" i="18"/>
  <c r="I125" i="18"/>
  <c r="I126" i="18"/>
  <c r="H124" i="18"/>
  <c r="H125" i="18"/>
  <c r="H126" i="18"/>
  <c r="G124" i="18"/>
  <c r="G125" i="18"/>
  <c r="G126" i="18"/>
  <c r="F125" i="18"/>
  <c r="H92" i="18"/>
  <c r="I73" i="18"/>
  <c r="Z23" i="9"/>
  <c r="AB18" i="9"/>
  <c r="H41" i="18" s="1"/>
  <c r="AA18" i="9"/>
  <c r="G41" i="18" s="1"/>
  <c r="Z18" i="9"/>
  <c r="G24" i="18"/>
  <c r="AA13" i="9"/>
  <c r="Z13" i="9"/>
  <c r="AA32" i="9"/>
  <c r="Z32" i="9"/>
  <c r="AD34" i="10"/>
  <c r="AD35" i="10"/>
  <c r="J120" i="18" s="1"/>
  <c r="AD36" i="10"/>
  <c r="AD37" i="10"/>
  <c r="AD38" i="10"/>
  <c r="AD33" i="10"/>
  <c r="AA34" i="10"/>
  <c r="AA35" i="10"/>
  <c r="G120" i="18" s="1"/>
  <c r="AA36" i="10"/>
  <c r="AA37" i="10"/>
  <c r="AA38" i="10"/>
  <c r="AA33" i="10"/>
  <c r="AA22" i="10"/>
  <c r="AA23" i="10"/>
  <c r="AB12" i="10"/>
  <c r="AA12" i="10"/>
  <c r="Z12" i="10"/>
  <c r="E40" i="18" s="1"/>
  <c r="AB11" i="10"/>
  <c r="AA11" i="10"/>
  <c r="Z11" i="10"/>
  <c r="AA13" i="10"/>
  <c r="AA14" i="10"/>
  <c r="AA15" i="10"/>
  <c r="AA16" i="10"/>
  <c r="AA17" i="10"/>
  <c r="AA18" i="10"/>
  <c r="G51" i="18" s="1"/>
  <c r="AB15" i="10"/>
  <c r="Z15" i="10"/>
  <c r="AB14" i="10"/>
  <c r="Z14" i="10"/>
  <c r="AE34" i="10"/>
  <c r="AE35" i="10"/>
  <c r="K120" i="18" s="1"/>
  <c r="AE36" i="10"/>
  <c r="AE37" i="10"/>
  <c r="AE38" i="10"/>
  <c r="H120" i="18"/>
  <c r="Z34" i="10"/>
  <c r="Z35" i="10"/>
  <c r="Z36" i="10"/>
  <c r="Z37" i="10"/>
  <c r="Z38" i="10"/>
  <c r="AD23" i="10"/>
  <c r="AC12" i="10"/>
  <c r="AC13" i="10"/>
  <c r="AC14" i="10"/>
  <c r="AC15" i="10"/>
  <c r="AC16" i="10"/>
  <c r="AC17" i="10"/>
  <c r="AC18" i="10"/>
  <c r="AB13" i="10"/>
  <c r="AB16" i="10"/>
  <c r="AB17" i="10"/>
  <c r="AB18" i="10"/>
  <c r="Z13" i="10"/>
  <c r="Z16" i="10"/>
  <c r="Z17" i="10"/>
  <c r="AC11" i="10"/>
  <c r="Z33" i="10"/>
  <c r="AA27" i="10"/>
  <c r="AA26" i="10"/>
  <c r="AB27" i="10"/>
  <c r="AB26" i="10"/>
  <c r="AB22" i="10"/>
  <c r="AB23" i="10"/>
  <c r="Z22" i="10"/>
  <c r="Z23" i="10"/>
  <c r="Z18" i="10"/>
  <c r="Y18" i="10" l="1"/>
  <c r="F51" i="18"/>
  <c r="E51" i="18" s="1"/>
  <c r="AB19" i="10"/>
  <c r="H48" i="18"/>
  <c r="AA19" i="10"/>
  <c r="G48" i="18"/>
  <c r="Y16" i="10"/>
  <c r="Z19" i="10"/>
  <c r="F48" i="18"/>
  <c r="E48" i="18" s="1"/>
  <c r="E93" i="18"/>
  <c r="H93" i="18"/>
  <c r="F62" i="18"/>
  <c r="F58" i="18"/>
  <c r="E58" i="18" s="1"/>
  <c r="F64" i="18"/>
  <c r="E64" i="18" s="1"/>
  <c r="F61" i="18"/>
  <c r="F57" i="18"/>
  <c r="E57" i="18" s="1"/>
  <c r="F72" i="18"/>
  <c r="F65" i="18"/>
  <c r="E65" i="18" s="1"/>
  <c r="F60" i="18"/>
  <c r="F56" i="18"/>
  <c r="E56" i="18" s="1"/>
  <c r="F73" i="18"/>
  <c r="E73" i="18" s="1"/>
  <c r="E125" i="18"/>
  <c r="F46" i="18"/>
  <c r="E46" i="18" s="1"/>
  <c r="F63" i="18"/>
  <c r="E63" i="18" s="1"/>
  <c r="F59" i="18"/>
  <c r="E59" i="18" s="1"/>
  <c r="E92" i="18"/>
  <c r="Y27" i="10"/>
  <c r="E91" i="18" s="1"/>
  <c r="Y26" i="10"/>
  <c r="E90" i="18" s="1"/>
  <c r="F124" i="18"/>
  <c r="F120" i="18"/>
  <c r="Y35" i="10"/>
  <c r="Z24" i="9"/>
  <c r="F126" i="18"/>
  <c r="E126" i="18" s="1"/>
  <c r="G128" i="18"/>
  <c r="E62" i="18"/>
  <c r="F41" i="18"/>
  <c r="E120" i="18"/>
  <c r="F42" i="18"/>
  <c r="H42" i="18"/>
  <c r="I42" i="18"/>
  <c r="G42" i="18"/>
  <c r="E60" i="18"/>
  <c r="F27" i="18"/>
  <c r="G27" i="18"/>
  <c r="F55" i="18"/>
  <c r="E61" i="18"/>
  <c r="E72" i="18"/>
  <c r="H74" i="18"/>
  <c r="E124" i="18"/>
  <c r="G67" i="18"/>
  <c r="G74" i="18"/>
  <c r="I74" i="18"/>
  <c r="Z39" i="10"/>
  <c r="AA39" i="9"/>
  <c r="Y39" i="10"/>
  <c r="AA39" i="10"/>
  <c r="Z39" i="9"/>
  <c r="K65" i="18"/>
  <c r="J65" i="18"/>
  <c r="AE43" i="8"/>
  <c r="K109" i="18" s="1"/>
  <c r="AD43" i="8"/>
  <c r="J109" i="18" s="1"/>
  <c r="AC43" i="8"/>
  <c r="AE42" i="8"/>
  <c r="AD42" i="8"/>
  <c r="AC42" i="8"/>
  <c r="J46" i="18"/>
  <c r="AC28" i="10"/>
  <c r="AB28" i="10"/>
  <c r="AA28" i="10"/>
  <c r="AC32" i="9"/>
  <c r="I111" i="18" s="1"/>
  <c r="AB32" i="9"/>
  <c r="H111" i="18" s="1"/>
  <c r="AC18" i="9"/>
  <c r="I41" i="18" s="1"/>
  <c r="AC12" i="9"/>
  <c r="I25" i="18" s="1"/>
  <c r="AB12" i="9"/>
  <c r="H25" i="18" s="1"/>
  <c r="AA12" i="9"/>
  <c r="AA14" i="9" s="1"/>
  <c r="Z12" i="9"/>
  <c r="Z14" i="9" s="1"/>
  <c r="AC26" i="9"/>
  <c r="AC27" i="9" s="1"/>
  <c r="AB26" i="9"/>
  <c r="AB27" i="9" s="1"/>
  <c r="AA26" i="9"/>
  <c r="Z26" i="9"/>
  <c r="AA30" i="9"/>
  <c r="Z30" i="9"/>
  <c r="AC23" i="9"/>
  <c r="AC24" i="9" s="1"/>
  <c r="AB23" i="9"/>
  <c r="AB24" i="9" s="1"/>
  <c r="AA23" i="9"/>
  <c r="AA24" i="9" s="1"/>
  <c r="AC16" i="9"/>
  <c r="I39" i="18" s="1"/>
  <c r="AB16" i="9"/>
  <c r="AA16" i="9"/>
  <c r="Z16" i="9"/>
  <c r="AC11" i="9"/>
  <c r="AB11" i="9"/>
  <c r="AC13" i="9"/>
  <c r="AB13" i="9"/>
  <c r="AC33" i="8"/>
  <c r="Y33" i="8" s="1"/>
  <c r="E88" i="18" s="1"/>
  <c r="AC32" i="8"/>
  <c r="AB32" i="8"/>
  <c r="H87" i="18" s="1"/>
  <c r="AA32" i="8"/>
  <c r="Z32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3" i="8"/>
  <c r="J88" i="18" s="1"/>
  <c r="AD32" i="8"/>
  <c r="J87" i="18" s="1"/>
  <c r="AE33" i="8"/>
  <c r="K88" i="18" s="1"/>
  <c r="AE32" i="8"/>
  <c r="K87" i="18" s="1"/>
  <c r="AE17" i="8"/>
  <c r="K21" i="18" s="1"/>
  <c r="AE18" i="8"/>
  <c r="K22" i="18" s="1"/>
  <c r="AE19" i="8"/>
  <c r="K23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2" i="9"/>
  <c r="K111" i="18" s="1"/>
  <c r="AD32" i="9"/>
  <c r="J111" i="18" s="1"/>
  <c r="AE26" i="9"/>
  <c r="AE27" i="9" s="1"/>
  <c r="AD26" i="9"/>
  <c r="AD27" i="9" s="1"/>
  <c r="AE30" i="9"/>
  <c r="Y30" i="9"/>
  <c r="AE23" i="9"/>
  <c r="AE24" i="9" s="1"/>
  <c r="AD23" i="9"/>
  <c r="AD24" i="9" s="1"/>
  <c r="AE18" i="9"/>
  <c r="K41" i="18" s="1"/>
  <c r="AE16" i="9"/>
  <c r="AD18" i="9"/>
  <c r="J41" i="18" s="1"/>
  <c r="AD16" i="9"/>
  <c r="J39" i="18" s="1"/>
  <c r="AE12" i="9"/>
  <c r="AD12" i="9"/>
  <c r="J24" i="18"/>
  <c r="AE13" i="9"/>
  <c r="AD13" i="9"/>
  <c r="K93" i="18"/>
  <c r="K92" i="18"/>
  <c r="K73" i="18"/>
  <c r="K72" i="18"/>
  <c r="K56" i="18"/>
  <c r="K57" i="18"/>
  <c r="K58" i="18"/>
  <c r="K59" i="18"/>
  <c r="K60" i="18"/>
  <c r="K61" i="18"/>
  <c r="K62" i="18"/>
  <c r="K63" i="18"/>
  <c r="K64" i="18"/>
  <c r="K46" i="18"/>
  <c r="J73" i="18"/>
  <c r="J72" i="18"/>
  <c r="J56" i="18"/>
  <c r="J57" i="18"/>
  <c r="J58" i="18"/>
  <c r="J59" i="18"/>
  <c r="J60" i="18"/>
  <c r="J61" i="18"/>
  <c r="J62" i="18"/>
  <c r="J63" i="18"/>
  <c r="J64" i="18"/>
  <c r="AE33" i="10"/>
  <c r="AE27" i="10"/>
  <c r="AE26" i="10"/>
  <c r="AD27" i="10"/>
  <c r="AD26" i="10"/>
  <c r="AE22" i="10"/>
  <c r="AE23" i="10"/>
  <c r="AE21" i="10"/>
  <c r="AD22" i="10"/>
  <c r="AE12" i="10"/>
  <c r="AE13" i="10"/>
  <c r="AE14" i="10"/>
  <c r="AE15" i="10"/>
  <c r="AE16" i="10"/>
  <c r="AE17" i="10"/>
  <c r="AE18" i="10"/>
  <c r="K51" i="18" s="1"/>
  <c r="AE11" i="10"/>
  <c r="X39" i="10"/>
  <c r="W39" i="10"/>
  <c r="V39" i="10"/>
  <c r="U39" i="10"/>
  <c r="T39" i="10"/>
  <c r="S39" i="10"/>
  <c r="Q39" i="10"/>
  <c r="P39" i="10"/>
  <c r="O39" i="10"/>
  <c r="N39" i="10"/>
  <c r="M39" i="10"/>
  <c r="L39" i="10"/>
  <c r="K39" i="10"/>
  <c r="J39" i="10"/>
  <c r="I39" i="10"/>
  <c r="H39" i="10"/>
  <c r="H40" i="10" s="1"/>
  <c r="G39" i="10"/>
  <c r="G40" i="10" s="1"/>
  <c r="X28" i="10"/>
  <c r="W28" i="10"/>
  <c r="V28" i="10"/>
  <c r="U28" i="10"/>
  <c r="T28" i="10"/>
  <c r="T40" i="10" s="1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C27" i="10"/>
  <c r="W24" i="10"/>
  <c r="V24" i="10"/>
  <c r="U24" i="10"/>
  <c r="T24" i="10"/>
  <c r="S24" i="10"/>
  <c r="R24" i="10"/>
  <c r="Q24" i="10"/>
  <c r="Q40" i="10" s="1"/>
  <c r="P24" i="10"/>
  <c r="N24" i="10"/>
  <c r="M24" i="10"/>
  <c r="L24" i="10"/>
  <c r="K24" i="10"/>
  <c r="J24" i="10"/>
  <c r="I24" i="10"/>
  <c r="H24" i="10"/>
  <c r="G24" i="10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1" i="9"/>
  <c r="W21" i="9"/>
  <c r="V21" i="9"/>
  <c r="U21" i="9"/>
  <c r="U40" i="9" s="1"/>
  <c r="T21" i="9"/>
  <c r="T40" i="9" s="1"/>
  <c r="S21" i="9"/>
  <c r="R21" i="9"/>
  <c r="Q21" i="9"/>
  <c r="Q40" i="9" s="1"/>
  <c r="P21" i="9"/>
  <c r="O21" i="9"/>
  <c r="N21" i="9"/>
  <c r="M21" i="9"/>
  <c r="L21" i="9"/>
  <c r="L40" i="9" s="1"/>
  <c r="K21" i="9"/>
  <c r="J21" i="9"/>
  <c r="I21" i="9"/>
  <c r="H21" i="9"/>
  <c r="H40" i="9" s="1"/>
  <c r="G21" i="9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X14" i="8"/>
  <c r="W14" i="8"/>
  <c r="W46" i="8" s="1"/>
  <c r="V14" i="8"/>
  <c r="V46" i="8" s="1"/>
  <c r="U14" i="8"/>
  <c r="U46" i="8" s="1"/>
  <c r="T14" i="8"/>
  <c r="S14" i="8"/>
  <c r="S46" i="8" s="1"/>
  <c r="R14" i="8"/>
  <c r="Q14" i="8"/>
  <c r="Q46" i="8" s="1"/>
  <c r="P14" i="8"/>
  <c r="O14" i="8"/>
  <c r="O46" i="8" s="1"/>
  <c r="N14" i="8"/>
  <c r="N46" i="8" s="1"/>
  <c r="M14" i="8"/>
  <c r="M46" i="8" s="1"/>
  <c r="L14" i="8"/>
  <c r="K14" i="8"/>
  <c r="K46" i="8" s="1"/>
  <c r="J14" i="8"/>
  <c r="J46" i="8" s="1"/>
  <c r="I14" i="8"/>
  <c r="I46" i="8" s="1"/>
  <c r="H14" i="8"/>
  <c r="G14" i="8"/>
  <c r="G46" i="8" s="1"/>
  <c r="F74" i="18" l="1"/>
  <c r="Y19" i="10"/>
  <c r="AE19" i="10"/>
  <c r="K48" i="18"/>
  <c r="F67" i="18"/>
  <c r="E111" i="18"/>
  <c r="J74" i="18"/>
  <c r="K94" i="18"/>
  <c r="AA27" i="9"/>
  <c r="H94" i="18"/>
  <c r="R46" i="8"/>
  <c r="F128" i="18"/>
  <c r="P40" i="9"/>
  <c r="G18" i="18"/>
  <c r="I108" i="18"/>
  <c r="E108" i="18" s="1"/>
  <c r="Y42" i="8"/>
  <c r="AC45" i="8"/>
  <c r="P46" i="8"/>
  <c r="X46" i="8"/>
  <c r="Y13" i="8"/>
  <c r="H14" i="18"/>
  <c r="E14" i="18" s="1"/>
  <c r="Y32" i="8"/>
  <c r="E87" i="18" s="1"/>
  <c r="K108" i="18"/>
  <c r="AE45" i="8"/>
  <c r="AB21" i="8"/>
  <c r="H20" i="18"/>
  <c r="H46" i="8"/>
  <c r="L46" i="8"/>
  <c r="T46" i="8"/>
  <c r="Y12" i="8"/>
  <c r="H13" i="18"/>
  <c r="I109" i="18"/>
  <c r="Y43" i="8"/>
  <c r="I40" i="9"/>
  <c r="M40" i="9"/>
  <c r="J40" i="9"/>
  <c r="N40" i="9"/>
  <c r="R40" i="9"/>
  <c r="V40" i="9"/>
  <c r="X40" i="9"/>
  <c r="G40" i="9"/>
  <c r="K40" i="9"/>
  <c r="S40" i="9"/>
  <c r="W40" i="9"/>
  <c r="O40" i="9"/>
  <c r="AE14" i="9"/>
  <c r="AB14" i="9"/>
  <c r="J25" i="18"/>
  <c r="AD14" i="9"/>
  <c r="I24" i="18"/>
  <c r="AC14" i="9"/>
  <c r="K25" i="18"/>
  <c r="Y13" i="9"/>
  <c r="J108" i="18"/>
  <c r="J128" i="18" s="1"/>
  <c r="AD45" i="8"/>
  <c r="Y39" i="9"/>
  <c r="H24" i="18"/>
  <c r="Y11" i="9"/>
  <c r="Z21" i="9"/>
  <c r="Y16" i="9"/>
  <c r="F39" i="18"/>
  <c r="F52" i="18" s="1"/>
  <c r="Y18" i="9"/>
  <c r="Z27" i="9"/>
  <c r="Y26" i="9"/>
  <c r="F25" i="18"/>
  <c r="Y12" i="9"/>
  <c r="Y23" i="9"/>
  <c r="Y24" i="9" s="1"/>
  <c r="K128" i="18"/>
  <c r="Y16" i="8"/>
  <c r="G20" i="18"/>
  <c r="E20" i="18" s="1"/>
  <c r="Y11" i="8"/>
  <c r="Y14" i="8" s="1"/>
  <c r="F10" i="18"/>
  <c r="E10" i="18" s="1"/>
  <c r="E42" i="18"/>
  <c r="E41" i="18"/>
  <c r="K42" i="18"/>
  <c r="J42" i="18"/>
  <c r="J52" i="18" s="1"/>
  <c r="E13" i="18"/>
  <c r="E74" i="18"/>
  <c r="I52" i="18"/>
  <c r="K39" i="18"/>
  <c r="F24" i="18"/>
  <c r="J55" i="18"/>
  <c r="J67" i="18" s="1"/>
  <c r="K55" i="18"/>
  <c r="K67" i="18" s="1"/>
  <c r="K27" i="18"/>
  <c r="K18" i="18" s="1"/>
  <c r="H27" i="18"/>
  <c r="H18" i="18" s="1"/>
  <c r="I55" i="18"/>
  <c r="I67" i="18" s="1"/>
  <c r="AA21" i="9"/>
  <c r="AA40" i="9" s="1"/>
  <c r="G39" i="18"/>
  <c r="G52" i="18" s="1"/>
  <c r="J27" i="18"/>
  <c r="J18" i="18" s="1"/>
  <c r="AB21" i="9"/>
  <c r="H39" i="18"/>
  <c r="H52" i="18" s="1"/>
  <c r="I27" i="18"/>
  <c r="I18" i="18" s="1"/>
  <c r="H55" i="18"/>
  <c r="H67" i="18" s="1"/>
  <c r="G25" i="18"/>
  <c r="K24" i="18"/>
  <c r="K74" i="18"/>
  <c r="O40" i="10"/>
  <c r="X40" i="10"/>
  <c r="AA21" i="8"/>
  <c r="AE21" i="8"/>
  <c r="Z21" i="8"/>
  <c r="Y21" i="8"/>
  <c r="AD21" i="8"/>
  <c r="AC21" i="8"/>
  <c r="Z34" i="8"/>
  <c r="AA34" i="8"/>
  <c r="AC34" i="8"/>
  <c r="AB34" i="8"/>
  <c r="U40" i="10"/>
  <c r="R40" i="10"/>
  <c r="V40" i="10"/>
  <c r="S40" i="10"/>
  <c r="W40" i="10"/>
  <c r="Z28" i="10"/>
  <c r="Z40" i="10" s="1"/>
  <c r="AA14" i="8"/>
  <c r="AE39" i="9"/>
  <c r="AD39" i="9"/>
  <c r="AC14" i="8"/>
  <c r="Z14" i="8"/>
  <c r="AB14" i="8"/>
  <c r="AB30" i="9"/>
  <c r="AC30" i="9"/>
  <c r="AD30" i="9"/>
  <c r="AE21" i="9"/>
  <c r="AC21" i="9"/>
  <c r="AB39" i="9"/>
  <c r="AD21" i="9"/>
  <c r="AC39" i="9"/>
  <c r="AA24" i="10"/>
  <c r="AE28" i="10"/>
  <c r="AA40" i="10"/>
  <c r="AB24" i="10"/>
  <c r="AB39" i="10"/>
  <c r="AD34" i="8"/>
  <c r="AE24" i="10"/>
  <c r="AC24" i="10"/>
  <c r="AC39" i="10"/>
  <c r="AD24" i="10"/>
  <c r="AD28" i="10"/>
  <c r="Z24" i="10"/>
  <c r="AE39" i="10"/>
  <c r="AE14" i="8"/>
  <c r="Y34" i="8"/>
  <c r="AD14" i="8"/>
  <c r="AE34" i="8"/>
  <c r="Y24" i="10"/>
  <c r="Y28" i="10"/>
  <c r="AD39" i="10"/>
  <c r="Y40" i="10" l="1"/>
  <c r="G28" i="18"/>
  <c r="H28" i="18"/>
  <c r="AC46" i="8"/>
  <c r="AB46" i="8"/>
  <c r="I128" i="18"/>
  <c r="E109" i="18"/>
  <c r="Y27" i="9"/>
  <c r="E89" i="18"/>
  <c r="E94" i="18" s="1"/>
  <c r="J94" i="18"/>
  <c r="AA46" i="8"/>
  <c r="Y45" i="8"/>
  <c r="Z40" i="9"/>
  <c r="AD40" i="9"/>
  <c r="F28" i="18"/>
  <c r="AC40" i="9"/>
  <c r="AB40" i="9"/>
  <c r="AE40" i="9"/>
  <c r="J28" i="18"/>
  <c r="I28" i="18"/>
  <c r="K28" i="18"/>
  <c r="Y21" i="9"/>
  <c r="Y14" i="9"/>
  <c r="AE46" i="8"/>
  <c r="Z46" i="8"/>
  <c r="F18" i="18"/>
  <c r="Y46" i="8"/>
  <c r="AD46" i="8"/>
  <c r="K52" i="18"/>
  <c r="AD40" i="10"/>
  <c r="E27" i="18"/>
  <c r="E18" i="18" s="1"/>
  <c r="I102" i="18"/>
  <c r="E24" i="18"/>
  <c r="E55" i="18"/>
  <c r="E67" i="18" s="1"/>
  <c r="E39" i="18"/>
  <c r="E52" i="18" s="1"/>
  <c r="E25" i="18"/>
  <c r="G129" i="18"/>
  <c r="AE40" i="10"/>
  <c r="AB40" i="10"/>
  <c r="AC40" i="10"/>
  <c r="J129" i="18" l="1"/>
  <c r="I129" i="18"/>
  <c r="Y40" i="9"/>
  <c r="K129" i="18"/>
  <c r="E28" i="18"/>
  <c r="F129" i="18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G40" i="4"/>
  <c r="AB40" i="4" l="1"/>
  <c r="AB41" i="4" s="1"/>
  <c r="Y40" i="4"/>
  <c r="Y41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N41" i="4" l="1"/>
  <c r="J41" i="4"/>
  <c r="T41" i="4"/>
  <c r="L41" i="4"/>
  <c r="H41" i="4"/>
  <c r="S41" i="4"/>
  <c r="U41" i="4"/>
  <c r="I41" i="4"/>
  <c r="Q41" i="4"/>
  <c r="M41" i="4"/>
  <c r="V41" i="4"/>
  <c r="R41" i="4"/>
  <c r="W41" i="4"/>
  <c r="O41" i="4"/>
  <c r="K41" i="4"/>
  <c r="X41" i="4"/>
  <c r="P41" i="4"/>
  <c r="E128" i="18"/>
  <c r="E129" i="18" s="1"/>
  <c r="H128" i="18"/>
  <c r="H129" i="18" s="1"/>
  <c r="G13" i="4" l="1"/>
  <c r="G30" i="4" l="1"/>
  <c r="G19" i="4"/>
  <c r="G41" i="4" l="1"/>
</calcChain>
</file>

<file path=xl/sharedStrings.xml><?xml version="1.0" encoding="utf-8"?>
<sst xmlns="http://schemas.openxmlformats.org/spreadsheetml/2006/main" count="2026" uniqueCount="483">
  <si>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</si>
  <si>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</si>
  <si>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</si>
  <si>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</si>
  <si>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</si>
  <si>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</si>
  <si>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</si>
  <si>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</si>
  <si>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</si>
  <si>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</si>
  <si>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</si>
  <si>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</si>
  <si>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</si>
  <si>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</si>
  <si>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</si>
  <si>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</si>
  <si>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</si>
  <si>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</si>
  <si>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</si>
  <si>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</si>
  <si>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</si>
  <si>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</si>
  <si>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</si>
  <si>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</si>
  <si>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</si>
  <si>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</si>
  <si>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</si>
  <si>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</si>
  <si>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</si>
  <si>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</si>
  <si>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</si>
  <si>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</si>
  <si>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</si>
  <si>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</si>
  <si>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</si>
  <si>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</si>
  <si>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</si>
  <si>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</si>
  <si>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</si>
  <si>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</si>
  <si>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</si>
  <si>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</si>
  <si>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</si>
  <si>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</si>
  <si>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</si>
  <si>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</si>
  <si>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</si>
  <si>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</si>
  <si>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</si>
  <si>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</si>
  <si>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</si>
  <si>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</si>
  <si>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</si>
  <si>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</si>
  <si>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</si>
  <si>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</si>
  <si>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</si>
  <si>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</si>
  <si>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</si>
  <si>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</si>
  <si>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</si>
  <si>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</si>
  <si>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</si>
  <si>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</si>
  <si>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</si>
  <si>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</si>
  <si>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</si>
  <si>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</si>
  <si>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</si>
  <si>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</si>
  <si>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</si>
  <si>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</si>
  <si>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</si>
  <si>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</si>
  <si>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</si>
  <si>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</si>
  <si>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</si>
  <si>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</si>
  <si>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</si>
  <si>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</si>
  <si>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</si>
  <si>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</si>
  <si>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</si>
  <si>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</si>
  <si>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</si>
  <si>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</si>
  <si>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</si>
  <si>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</si>
  <si>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</si>
  <si>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</si>
  <si>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</si>
  <si>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</si>
  <si>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</si>
  <si>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</si>
  <si>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</si>
  <si>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</si>
  <si>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</si>
  <si>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</si>
  <si>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</si>
  <si>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</si>
  <si>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</si>
  <si>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</si>
  <si>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</si>
  <si>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</si>
  <si>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</si>
  <si>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</si>
  <si>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</si>
  <si>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</si>
  <si>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</si>
  <si>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</si>
  <si>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</si>
  <si>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</si>
  <si>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</si>
  <si>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</si>
  <si>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</si>
  <si>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</si>
  <si>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</si>
  <si>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</si>
  <si>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</si>
  <si>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</si>
  <si>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</si>
  <si>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</si>
  <si>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</si>
  <si>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</si>
  <si>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</si>
  <si>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</si>
  <si>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</si>
  <si>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</si>
  <si>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</si>
  <si>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</si>
  <si>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</si>
  <si>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</si>
  <si>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</si>
  <si>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</si>
  <si>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</si>
  <si>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</si>
  <si>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</si>
  <si>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</si>
  <si>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</si>
  <si>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</si>
  <si>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</si>
  <si>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</si>
  <si>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</si>
  <si>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</si>
  <si>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</si>
  <si>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</si>
  <si>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</si>
  <si>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</si>
  <si>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</si>
  <si>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</si>
  <si>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</si>
  <si>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</si>
  <si>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</si>
  <si>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Endokrynologia dziecieca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</si>
  <si>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</si>
  <si>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</si>
  <si>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</si>
  <si>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</si>
  <si>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</si>
  <si>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</si>
  <si>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</si>
  <si>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</si>
  <si>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</si>
  <si>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</si>
  <si>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</si>
  <si>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</si>
  <si>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</si>
  <si>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</si>
  <si>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</si>
  <si>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</si>
  <si>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</si>
  <si>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</si>
  <si>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</si>
  <si>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</si>
  <si>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</si>
  <si>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</si>
  <si>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</si>
  <si>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</si>
  <si>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</si>
  <si>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</si>
  <si>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</si>
  <si>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</si>
  <si>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</si>
  <si>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</si>
  <si>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</si>
  <si>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</si>
  <si>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</si>
  <si>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</si>
  <si>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</si>
  <si>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</si>
  <si>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</si>
  <si>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</si>
  <si>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</si>
  <si>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</si>
  <si>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</si>
  <si>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</si>
  <si>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</si>
  <si>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</si>
  <si>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</si>
  <si>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r>
      <t xml:space="preserve">Interwencja kryzysowa
 </t>
    </r>
    <r>
      <rPr>
        <sz val="12"/>
        <rFont val="Roboto"/>
        <charset val="238"/>
      </rPr>
      <t>(przedmiot realizowany w formie ćwiczeń)</t>
    </r>
  </si>
  <si>
    <r>
      <t xml:space="preserve">Język migowy 
 </t>
    </r>
    <r>
      <rPr>
        <sz val="12"/>
        <rFont val="Roboto"/>
        <charset val="238"/>
      </rPr>
      <t>(przedmiot realizowany w formie ćwiczeń)</t>
    </r>
  </si>
  <si>
    <t>Patomorfologia zmian zapalnych o różnej etiologii</t>
  </si>
  <si>
    <t>9,10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</si>
  <si>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</si>
  <si>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</si>
  <si>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</si>
  <si>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</si>
  <si>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</si>
  <si>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</si>
  <si>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</si>
  <si>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</si>
  <si>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</si>
  <si>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</si>
  <si>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</si>
  <si>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</si>
  <si>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</si>
  <si>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</si>
  <si>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</si>
  <si>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</si>
  <si>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</si>
  <si>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</si>
  <si>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</si>
  <si>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</si>
  <si>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</si>
  <si>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</si>
  <si>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</si>
  <si>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</si>
  <si>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</si>
  <si>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</si>
  <si>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</si>
  <si>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</si>
  <si>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</si>
  <si>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</si>
  <si>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</si>
  <si>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</si>
  <si>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</si>
  <si>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</si>
  <si>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</si>
  <si>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</si>
  <si>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</si>
  <si>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</si>
  <si>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</si>
  <si>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</si>
  <si>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</si>
  <si>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</si>
  <si>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</si>
  <si>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</si>
  <si>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</si>
  <si>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</si>
  <si>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</si>
  <si>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</si>
  <si>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</si>
  <si>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</si>
  <si>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</si>
  <si>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</si>
  <si>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</si>
  <si>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</si>
  <si>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</si>
  <si>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</si>
  <si>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</si>
  <si>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</si>
  <si>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</si>
  <si>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</si>
  <si>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</si>
  <si>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</si>
  <si>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</si>
  <si>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</si>
  <si>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</si>
  <si>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</si>
  <si>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</si>
  <si>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</si>
  <si>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</si>
  <si>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</si>
  <si>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</si>
  <si>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</si>
  <si>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</si>
  <si>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</si>
  <si>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</si>
  <si>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</si>
  <si>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</si>
  <si>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</si>
  <si>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</si>
  <si>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</si>
  <si>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</si>
  <si>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</si>
  <si>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</si>
  <si>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</si>
  <si>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</si>
  <si>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</si>
  <si>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</si>
  <si>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</si>
  <si>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</si>
  <si>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</si>
  <si>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</si>
  <si>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</si>
  <si>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</si>
  <si>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</si>
  <si>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</si>
  <si>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</si>
  <si>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</si>
  <si>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</si>
  <si>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</si>
  <si>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</si>
  <si>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</si>
  <si>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</si>
  <si>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</si>
  <si>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</si>
  <si>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</si>
  <si>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</si>
  <si>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8,1</t>
  </si>
  <si>
    <t>8,2</t>
  </si>
  <si>
    <t>0912-7LEK-A4,6-JA</t>
  </si>
  <si>
    <t>0912-7LEK-A10,2-JŁ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</si>
  <si>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</si>
  <si>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</si>
  <si>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</si>
  <si>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</si>
  <si>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</si>
  <si>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</si>
  <si>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</si>
  <si>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</si>
  <si>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</si>
  <si>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</si>
  <si>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</si>
  <si>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</si>
  <si>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</si>
  <si>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0912-7LEK-F-20-MDPiM</t>
  </si>
  <si>
    <t>0912-7LEK-C5.1-P</t>
  </si>
  <si>
    <t>0912-7LEK-C5.2-CW</t>
  </si>
  <si>
    <t>Zajęcia fakultatywne-
przygotowanie do Lekarskiego Egzaminu Końcowego
student wybiera 9 zagadnień z 10 pomiędzy 9-12 semestrem</t>
  </si>
  <si>
    <t>Język obcy **</t>
  </si>
  <si>
    <t>0912-7LEK-B2.8-Mbm</t>
  </si>
  <si>
    <t>0912-7LEK-C3,7-ZS</t>
  </si>
  <si>
    <t>3,7</t>
  </si>
  <si>
    <t>0912-7LEK-C3.7-ZS</t>
  </si>
  <si>
    <t>0912-7LEK-C3,8-P</t>
  </si>
  <si>
    <t>0912-7LEK-C3.8-P</t>
  </si>
  <si>
    <t>0912-7LEK-C3.6-F</t>
  </si>
  <si>
    <t xml:space="preserve">Podstawy biologii komórki </t>
  </si>
  <si>
    <t>Z NASTĘPUJĄCYCH PRZEDMIOTÓW CZĘŚĆ WYKŁADÓW JEST REALIZOWANA W FORMIE E-LEARNINGU:</t>
  </si>
  <si>
    <t>1. Podstawy biologii komórki (5 godzin w semestrze letnim)</t>
  </si>
  <si>
    <t>2. Chemia (5 godzin w semestrze zimowym)</t>
  </si>
  <si>
    <t>3. Biostatystyka z elementami informatyki (5 godzin w semestrze zimowym i 5 godzin w semestrze letnim)</t>
  </si>
  <si>
    <t>2. Biochemia (5 godzin w semestrze zimowym)</t>
  </si>
  <si>
    <t>3. Fizjologia z cytologią (5 godzin w semestrze zimowym i 5 godzin w semestrze letnim)</t>
  </si>
  <si>
    <t>Leczenie skojarzone</t>
  </si>
  <si>
    <t>1 i 2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</si>
  <si>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</si>
  <si>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</si>
  <si>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</si>
  <si>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</si>
  <si>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</si>
  <si>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</si>
  <si>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</si>
  <si>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 xml:space="preserve">* Zajęcia fakultatywne </t>
    </r>
    <r>
      <rPr>
        <sz val="14"/>
        <rFont val="Roboto"/>
        <charset val="238"/>
      </rPr>
      <t>(student w pierwszym semestrze wybiera 1 z 2, w drugim semestrze wybiera 1 z 2)</t>
    </r>
  </si>
  <si>
    <r>
      <rPr>
        <b/>
        <sz val="11"/>
        <rFont val="Calibri"/>
        <family val="2"/>
        <charset val="238"/>
      </rPr>
      <t xml:space="preserve">** </t>
    </r>
    <r>
      <rPr>
        <sz val="11"/>
        <rFont val="Calibri"/>
        <family val="2"/>
        <charset val="238"/>
      </rPr>
      <t>zgodnie z ofertą Studium Jezyków Obcych UJK</t>
    </r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</si>
  <si>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Lekarski i Nauk o Zdrowiu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</si>
  <si>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</si>
  <si>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</si>
  <si>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r>
      <t xml:space="preserve">* Zajęcia fakultatywne </t>
    </r>
    <r>
      <rPr>
        <sz val="14"/>
        <rFont val="Roboto"/>
        <charset val="238"/>
      </rPr>
      <t>(student wybiera w 5 semestrze 4 z 5 (2 w formie wykładowej i 2 w formie ćwiczeniowej); w 6 semestrze 3 z 4)</t>
    </r>
  </si>
  <si>
    <r>
      <t xml:space="preserve">* Zajęcia fakultatywne </t>
    </r>
    <r>
      <rPr>
        <sz val="14"/>
        <rFont val="Roboto"/>
        <charset val="238"/>
      </rPr>
      <t>( student wybiera z grupy 9 przedmiotów: 3przedmioty w 7 semestrze oraz 3 przedmioty w 8 semestrze)</t>
    </r>
  </si>
  <si>
    <t>Kod</t>
  </si>
  <si>
    <t>Realizacja
 w semestrze</t>
  </si>
  <si>
    <r>
      <t xml:space="preserve">* Zajęcia fakultatywne </t>
    </r>
    <r>
      <rPr>
        <sz val="14"/>
        <rFont val="Roboto"/>
        <charset val="238"/>
      </rPr>
      <t>(student wybiera w 3 semestrze 3 z 5; w 4 semestrze 2 z 5)</t>
    </r>
  </si>
  <si>
    <r>
      <t xml:space="preserve">* Zajęcia fakultatywne </t>
    </r>
    <r>
      <rPr>
        <sz val="14"/>
        <rFont val="Roboto"/>
        <charset val="238"/>
      </rPr>
      <t>(student wybiera z grupy 20 przedmiotów: 2 przedmioty w 9 semestrze oraz 1 przedmiot w 10 semestrze )</t>
    </r>
  </si>
  <si>
    <t>55</t>
  </si>
  <si>
    <t>PRZEDMIOTY OBOWIĄZKOWE - wykłady (ogółem 25 godzin):</t>
  </si>
  <si>
    <t>4. Historia medycyny (5 godzin w semestrze zimowym)</t>
  </si>
  <si>
    <t>4. Mikrobiologia (5 godzin w semestrze zimowym)</t>
  </si>
  <si>
    <t>PRZEDMIOTY FAKULTATYWNE (ogółem 25 godzin):</t>
  </si>
  <si>
    <t>1. Przedmiot fakultatywny - seminaria: 5 godzin w semestrze zimowym</t>
  </si>
  <si>
    <t>Do wyboru: - Praktyka medyczna oparta na dowodach naukowych (EBM) lub Język obcy</t>
  </si>
  <si>
    <t xml:space="preserve">2. Przedmiot fakultatywny - wykłady: 5 godzin w semestrze zimowym </t>
  </si>
  <si>
    <t xml:space="preserve">Do wyboru: Żywność modyfikowana genetycznie lub Racjonalna antybiotykoterapia lub Molekularne podstawy działania narządów zmysłów </t>
  </si>
  <si>
    <t>PRZEDMIOTY WSPARCIA (ogółem 25 godzin):</t>
  </si>
  <si>
    <t>15 godzin w semestrze zimowym i 10 godzin w semestrze letnim</t>
  </si>
  <si>
    <t>1. Patologia (5 godzin w semestrze zimowym i 5 godzin w semestrze letnim)</t>
  </si>
  <si>
    <t>PRZEDMIOTY FAKULTATYWNE (ogółem 35 godzin):</t>
  </si>
  <si>
    <t>1. Przedmiot fakultatywny - wykłady: 5 godzin w semestrze zimowym</t>
  </si>
  <si>
    <t>Do wyboru: - Patofizjologia nerek lub Patofizjologia trzustki lub Metody diagnostyki patomorfologicznej i molekularnej</t>
  </si>
  <si>
    <t xml:space="preserve">2. Przedmiot fakultatywny - seminaria: 5 godzin w semestrze zimowym </t>
  </si>
  <si>
    <t>Do wyboru: Nowoczesne techniki mikroskopowe w medycynie lub Interwencja kryzysowa lub Język migowy</t>
  </si>
  <si>
    <t>Do wyboru: Patomorfologia zmian zapalnych o różnej etiologii lub Specyfika narządowa raportów patomorfologicznych nowotworów lub Patofizjologia układu endokrynnego lub Aktywne składniki materii żywej</t>
  </si>
  <si>
    <t>1. Choroby zakaźne (12 godzin w semestrze zimowym)</t>
  </si>
  <si>
    <t>2. Pediatria (3 godziny w semestrze zimowym i 3 godziny w semestrze letnim)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</si>
  <si>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</si>
  <si>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</si>
  <si>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</si>
  <si>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</si>
  <si>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PRZEDMIOTY FAKULTATYWNE (ogółem 30 godzin):</t>
  </si>
  <si>
    <t>Do wyboru: Dermatologia pediatryczna lub Farmakoekonomika lub Zakażenia wirusami przenoszonymi drogą krwi lub Endokrynologia dziecieca</t>
  </si>
  <si>
    <t>2. Przedmiot fakultatywny - wykłady: 5 godzin w semestrze letnim</t>
  </si>
  <si>
    <t>Do wyboru: Chirurgia endoskopowa i laparoskopowa lub Pediatria - kardiologia dziecięca lub Terapia bólu lub Choroby płuc lub Chirurgia naczyniowa</t>
  </si>
  <si>
    <t>0912-7LEK-B2.1-B</t>
  </si>
  <si>
    <t>W planach studiów na kierunku lekarskim propwadzonym w języku polskim w formie stacjonarnej przewidziano ogółem 13 punktów ECTS (325 godzin)  z wykorzystaniem metod i technik kształcenia na odległość (e-learning)</t>
  </si>
  <si>
    <t>0912-7LEK-F-5-MOD</t>
  </si>
  <si>
    <t>0912-7LEK-F-6-ZMG</t>
  </si>
  <si>
    <t>0912-7LEK-F55-Z</t>
  </si>
  <si>
    <t>0912-7LEK-B4,7-KI</t>
  </si>
  <si>
    <t xml:space="preserve">Do wyboru: Inżynieria genetyczna lub Aparatura medyczna lub Immunologia onkologiczna lub Hemostaza i tromboza 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</si>
  <si>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</si>
  <si>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</si>
  <si>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</si>
  <si>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</si>
  <si>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56.</t>
  </si>
  <si>
    <t>1.GRUPA ZAJĘĆ Nauki morfologiczne</t>
  </si>
  <si>
    <t>2.GRUPA ZAJĘĆ Naukowe podstawy medycyny</t>
  </si>
  <si>
    <t>4. GRUPA ZAJĘĆ Nauki behawioralne i społeczne z elementami profesjonalizmu</t>
  </si>
  <si>
    <t>10. PRZEDMIOTY OGÓLNOUCZELNIANE</t>
  </si>
  <si>
    <t>11. GRUPA PRZEDMIOTÓW FAKULTATYWNCYH</t>
  </si>
  <si>
    <t>9. GRUPA ZAJĘĆ Praktyki wakacyjne</t>
  </si>
  <si>
    <t>8. GRUPA ZAJĘĆ Praktyki wakacyjne</t>
  </si>
  <si>
    <t>11. GRUPA PRZEDMIOTÓW FAKULTATYWNYCH</t>
  </si>
  <si>
    <t>11. GUPA PRZEDMIOTÓW FAKULTATYWNYCH</t>
  </si>
  <si>
    <t>12.GRUPA PRZEDMIOTÓW FAKULTATYWNYCH</t>
  </si>
  <si>
    <t>12. GRUPA PRZEDMIOTÓW FAKULTATYWNYCH</t>
  </si>
  <si>
    <t>11. GRUPA PRZEDMIOTÓW FAKULTATYWNYCH**</t>
  </si>
  <si>
    <t>3. GRUPA ZAJĘĆ Nauki przedkliniczne</t>
  </si>
  <si>
    <t>7. GRUPA ZAJĘĆ Prawne i organizacyjne podstawy medycyny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</si>
  <si>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</si>
  <si>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</si>
  <si>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</si>
  <si>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</si>
  <si>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Ogółem e-learning: 25 godzin (1 ECTS)</t>
  </si>
  <si>
    <t>Ogółem e-learning: 75 godzin (3 ECTS)</t>
  </si>
  <si>
    <t>Szkolenie biblioteczne</t>
  </si>
  <si>
    <t>0912-7LEK-A10,3-PB</t>
  </si>
  <si>
    <t>0912-7LEK-A10,4-BHP</t>
  </si>
  <si>
    <t>0912-7LEK-A10,5-WF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</si>
  <si>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</si>
  <si>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</si>
  <si>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</si>
  <si>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</si>
  <si>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PRZEDMIOTY OBOWIĄZKOWE - wykłady (ogółem 42 godziny):</t>
  </si>
  <si>
    <t>1. Metodologia badań naukowych z elementami biostatystki w medycnie (3 godziny w semestrze zimowym)</t>
  </si>
  <si>
    <t>2. Chirurgia ogólna (3 godziny w semestrze zimowym i 3 godziny w semestrze letnim)</t>
  </si>
  <si>
    <t>6. Urologia (3 godziny w semestrze letnim)</t>
  </si>
  <si>
    <t>7. Otolaryngologia (3 godziny w semestrze zimowym)</t>
  </si>
  <si>
    <t>PRZEDMIOTY OBOWIĄZKOWE - seminaria (ogółem 8 godzin):</t>
  </si>
  <si>
    <t>1. Medycyna rodzinna (5 godzin w semestrze zimowym)</t>
  </si>
  <si>
    <t>2. Ginekologia i położnictwo (3 godziny w zimowym)</t>
  </si>
  <si>
    <t>1. Przedmiot fakultatywny - wykłady+seminaria: 5+5 godzin w semestrze zimowym</t>
  </si>
  <si>
    <t xml:space="preserve">Do wyboru: Hipertensjologia lub Gastroenterologia dziecięca lub Alergologia lub Kardiologia interwencyjna lub Żywienie kliniczne lub Anestezsjologia i intenstywna terapia dziecięca lub Leczenie skojarzone loub Elektrokardiografia lub Traumatologia dziecięca lub  </t>
  </si>
  <si>
    <t>Diagnostyka obrazowa w stanach nagłych lub Radioterapia lub znaczenie profili genetycznych w leczeniu onkologicznym lub chirurgia bariatryczna</t>
  </si>
  <si>
    <t>2. Przedmiot fakultatywny - seminaria: 5 godzin w semestrze zimowym</t>
  </si>
  <si>
    <t>Do wyboru: Psychiatria dorosłych lub Metodyka pisania prac naukowych lub Choroby metaboliczne lub Psychiatria dzieci i młodzieży lub Radiologia w pediatrii</t>
  </si>
  <si>
    <t>Przedmiot fakultatywny LEK</t>
  </si>
  <si>
    <t>3. Przedmiot fakultatywny - wykłady: 5 godzin w semestrze letnim</t>
  </si>
  <si>
    <t>Do wyboru: Bezpieczeństwo pacjenta lub Farmakogenetyka lub Podstawy kodowania i rozliczania świadczeń w ramach umów z płatnikiem publicznym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</si>
  <si>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</si>
  <si>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</si>
  <si>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</si>
  <si>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</si>
  <si>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</si>
  <si>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</si>
  <si>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</si>
  <si>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</si>
  <si>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</si>
  <si>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PRZEDMIOTY OBOWIĄZKOWE - wykłady (ogółem 42 godziny)</t>
  </si>
  <si>
    <t>PRZEDMIOTY OBOWIĄZKOWE -seminaria (ogółem 3 godziny)</t>
  </si>
  <si>
    <t>1. Choroby zakaźne (3 godziny w semestrze zimowym)</t>
  </si>
  <si>
    <t xml:space="preserve">Ogółem e-learning: 75 godzin (3 ECTS)  </t>
  </si>
  <si>
    <r>
      <t>PRZEDMIOTY FAKULTATYWNE (ogółem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25 godzin): </t>
    </r>
  </si>
  <si>
    <t>3. Przedmiot fakultatywny - seminaria: 5 godzin w semestrze letnim</t>
  </si>
  <si>
    <t>Do wyboru: - Elektrofizjologia lub Język obcy</t>
  </si>
  <si>
    <t xml:space="preserve">4. Przedmiot fakultatywny - wykłady: 5 godzin w semestrze letnim </t>
  </si>
  <si>
    <t>2. Farmakologia z toksykologią (2 godziny w semestrze zimowym)</t>
  </si>
  <si>
    <t>PRZEDMIOTY OBOWIĄZKOWE -seminaria (ogółem 18 godzin):</t>
  </si>
  <si>
    <t>1. Patologia (5 godzin w semestrze zimowym)</t>
  </si>
  <si>
    <t>2. Farmakologia z toksykologią (8 godzin w semestrze zimowym)</t>
  </si>
  <si>
    <t>1. Biofizyka (5 godzin w semestrze zimowym)</t>
  </si>
  <si>
    <t xml:space="preserve">Ogółem e-learning: 75 godzin (3 ECTS) </t>
  </si>
  <si>
    <t>PRZEDMIOTY OBOWIĄZKOWE -wykłady (ogółem 22 godziny):</t>
  </si>
  <si>
    <t>3. Patofizjologia (5 godzin w semestrze zimowym)</t>
  </si>
  <si>
    <t>3. Patofizjologia (5 godzin w semestrze zimowym i 5 godzin w semestrze letnim)</t>
  </si>
  <si>
    <t>6-8, 10</t>
  </si>
  <si>
    <t>5. Chirurgia onkologiczna (3 godziny w semestrze letnim)</t>
  </si>
  <si>
    <t>8. Ginekologia i położnictwo (3 godziny w semestrze zimowym i 3 godziny w semestrze letnim)</t>
  </si>
  <si>
    <t>9. Okulistyka (3 godziny w semestrze letnim)</t>
  </si>
  <si>
    <t>10. Transplantologia (3 godziny w semestrze zimowym)</t>
  </si>
  <si>
    <t>11. Neurochirurgia (3 godziny w semestrze letnim)</t>
  </si>
  <si>
    <t>4. Ortopedia i traumatologia (3 godziny w semestrze zimowym)</t>
  </si>
  <si>
    <t>3. Chirurgia dziecięca (6 godziny w semestrze zimowym)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</si>
</sst>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93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sz val="11"/>
      <color theme="1" tint="0.49998474074526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9"/>
      <color indexed="8"/>
      <name val="Roboto"/>
      <charset val="238"/>
    </font>
    <font>
      <b/>
      <sz val="20"/>
      <name val="Roboto"/>
      <charset val="238"/>
    </font>
    <font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2"/>
      <color rgb="FFFF0000"/>
      <name val="Roboto"/>
      <charset val="238"/>
    </font>
    <font>
      <b/>
      <sz val="14"/>
      <color rgb="FFFF0000"/>
      <name val="Calibri"/>
      <family val="2"/>
      <charset val="238"/>
    </font>
    <font>
      <b/>
      <sz val="16"/>
      <color rgb="FFFF0000"/>
      <name val="Roboto"/>
      <charset val="238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9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92" fillId="0" borderId="0"/>
    <xf numFmtId="0" fontId="1" fillId="0" borderId="0"/>
  </cellStyleXfs>
  <cellXfs count="81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7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20" fillId="6" borderId="13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0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164" fontId="17" fillId="0" borderId="0" xfId="0" applyNumberFormat="1" applyFont="1" applyAlignment="1">
      <alignment horizontal="center"/>
    </xf>
    <xf numFmtId="0" fontId="18" fillId="0" borderId="0" xfId="0" applyFont="1"/>
    <xf numFmtId="0" fontId="26" fillId="0" borderId="0" xfId="0" applyFont="1"/>
    <xf numFmtId="0" fontId="19" fillId="0" borderId="0" xfId="0" applyFont="1"/>
    <xf numFmtId="0" fontId="17" fillId="2" borderId="0" xfId="0" applyFont="1" applyFill="1"/>
    <xf numFmtId="0" fontId="19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164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7" fillId="0" borderId="15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4" fontId="18" fillId="0" borderId="0" xfId="0" applyNumberFormat="1" applyFont="1" applyAlignment="1"/>
    <xf numFmtId="0" fontId="19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1" xfId="3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41" fillId="0" borderId="1" xfId="0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4" fillId="2" borderId="8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/>
    </xf>
    <xf numFmtId="0" fontId="45" fillId="0" borderId="1" xfId="3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4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right" vertical="center" textRotation="90"/>
    </xf>
    <xf numFmtId="0" fontId="24" fillId="0" borderId="5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textRotation="90"/>
    </xf>
    <xf numFmtId="0" fontId="10" fillId="0" borderId="0" xfId="0" applyFont="1" applyFill="1" applyBorder="1" applyAlignment="1">
      <alignment horizontal="right" vertical="center" textRotation="90"/>
    </xf>
    <xf numFmtId="0" fontId="10" fillId="0" borderId="1" xfId="0" applyFont="1" applyBorder="1" applyAlignment="1">
      <alignment vertical="center" textRotation="90"/>
    </xf>
    <xf numFmtId="0" fontId="6" fillId="10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1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/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0" fillId="0" borderId="4" xfId="0" applyNumberFormat="1" applyFont="1" applyFill="1" applyBorder="1" applyAlignment="1">
      <alignment horizontal="left" vertical="center" wrapText="1"/>
    </xf>
    <xf numFmtId="49" fontId="51" fillId="0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0" fontId="24" fillId="0" borderId="0" xfId="3" applyFont="1" applyFill="1" applyBorder="1" applyAlignment="1">
      <alignment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left" vertical="center" wrapText="1"/>
    </xf>
    <xf numFmtId="0" fontId="50" fillId="0" borderId="1" xfId="3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6" fillId="12" borderId="29" xfId="0" applyNumberFormat="1" applyFont="1" applyFill="1" applyBorder="1" applyAlignment="1">
      <alignment horizontal="left" vertical="center" wrapText="1"/>
    </xf>
    <xf numFmtId="164" fontId="6" fillId="12" borderId="1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7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vertical="center" wrapText="1"/>
    </xf>
    <xf numFmtId="0" fontId="5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4" fillId="0" borderId="0" xfId="0" applyFont="1"/>
    <xf numFmtId="0" fontId="21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vertical="center" wrapText="1"/>
    </xf>
    <xf numFmtId="0" fontId="4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3" fillId="0" borderId="6" xfId="0" applyFont="1" applyFill="1" applyBorder="1" applyAlignment="1">
      <alignment vertical="center" wrapText="1"/>
    </xf>
    <xf numFmtId="0" fontId="48" fillId="0" borderId="21" xfId="0" applyFont="1" applyFill="1" applyBorder="1" applyAlignment="1">
      <alignment vertical="center" wrapText="1"/>
    </xf>
    <xf numFmtId="49" fontId="55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5" fillId="0" borderId="3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3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6" fillId="14" borderId="29" xfId="0" applyNumberFormat="1" applyFont="1" applyFill="1" applyBorder="1" applyAlignment="1">
      <alignment horizontal="left" vertical="center" wrapText="1"/>
    </xf>
    <xf numFmtId="0" fontId="52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7" fillId="0" borderId="0" xfId="0" applyFont="1"/>
    <xf numFmtId="0" fontId="57" fillId="0" borderId="1" xfId="0" applyFont="1" applyBorder="1"/>
    <xf numFmtId="0" fontId="0" fillId="0" borderId="0" xfId="0" applyAlignment="1">
      <alignment horizontal="left" vertical="center"/>
    </xf>
    <xf numFmtId="165" fontId="7" fillId="0" borderId="1" xfId="5" applyNumberFormat="1" applyFont="1" applyFill="1" applyBorder="1" applyAlignment="1">
      <alignment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1" fontId="28" fillId="0" borderId="14" xfId="0" applyNumberFormat="1" applyFont="1" applyFill="1" applyBorder="1" applyAlignment="1">
      <alignment horizontal="center" vertical="center" wrapText="1"/>
    </xf>
    <xf numFmtId="0" fontId="58" fillId="0" borderId="0" xfId="0" applyFont="1"/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5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8" fillId="14" borderId="1" xfId="0" applyFont="1" applyFill="1" applyBorder="1" applyAlignment="1">
      <alignment vertical="center" wrapText="1"/>
    </xf>
    <xf numFmtId="0" fontId="59" fillId="14" borderId="1" xfId="0" applyFont="1" applyFill="1" applyBorder="1" applyAlignment="1">
      <alignment vertical="center" wrapText="1"/>
    </xf>
    <xf numFmtId="0" fontId="57" fillId="14" borderId="1" xfId="0" applyFont="1" applyFill="1" applyBorder="1"/>
    <xf numFmtId="0" fontId="48" fillId="14" borderId="4" xfId="0" applyFont="1" applyFill="1" applyBorder="1" applyAlignment="1">
      <alignment vertical="center" wrapText="1"/>
    </xf>
    <xf numFmtId="0" fontId="56" fillId="14" borderId="1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8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0" fontId="10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1" fillId="0" borderId="1" xfId="3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24" fillId="2" borderId="1" xfId="3" applyFont="1" applyFill="1" applyBorder="1" applyAlignment="1">
      <alignment vertical="center" wrapText="1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left"/>
    </xf>
    <xf numFmtId="0" fontId="67" fillId="0" borderId="0" xfId="0" applyFont="1"/>
    <xf numFmtId="0" fontId="67" fillId="2" borderId="0" xfId="0" applyFont="1" applyFill="1"/>
    <xf numFmtId="0" fontId="10" fillId="0" borderId="3" xfId="0" applyFont="1" applyBorder="1" applyAlignment="1">
      <alignment horizontal="center" vertical="center" textRotation="90"/>
    </xf>
    <xf numFmtId="0" fontId="30" fillId="9" borderId="2" xfId="0" applyFont="1" applyFill="1" applyBorder="1" applyAlignment="1">
      <alignment horizontal="center" vertical="center" textRotation="90" wrapText="1"/>
    </xf>
    <xf numFmtId="0" fontId="30" fillId="8" borderId="2" xfId="0" applyFont="1" applyFill="1" applyBorder="1" applyAlignment="1">
      <alignment horizontal="center" vertical="center" textRotation="90" wrapText="1"/>
    </xf>
    <xf numFmtId="0" fontId="69" fillId="6" borderId="11" xfId="0" applyFont="1" applyFill="1" applyBorder="1" applyAlignment="1">
      <alignment vertical="center"/>
    </xf>
    <xf numFmtId="0" fontId="69" fillId="6" borderId="12" xfId="0" applyFont="1" applyFill="1" applyBorder="1" applyAlignment="1">
      <alignment vertical="center"/>
    </xf>
    <xf numFmtId="0" fontId="69" fillId="6" borderId="12" xfId="0" applyFont="1" applyFill="1" applyBorder="1" applyAlignment="1">
      <alignment horizontal="left" vertical="center"/>
    </xf>
    <xf numFmtId="164" fontId="41" fillId="0" borderId="1" xfId="0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center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6" borderId="5" xfId="0" applyFont="1" applyFill="1" applyBorder="1" applyAlignment="1">
      <alignment vertical="center"/>
    </xf>
    <xf numFmtId="0" fontId="69" fillId="6" borderId="6" xfId="0" applyFont="1" applyFill="1" applyBorder="1" applyAlignment="1">
      <alignment vertical="center"/>
    </xf>
    <xf numFmtId="0" fontId="69" fillId="6" borderId="6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vertical="center"/>
    </xf>
    <xf numFmtId="164" fontId="41" fillId="0" borderId="4" xfId="0" applyNumberFormat="1" applyFont="1" applyFill="1" applyBorder="1" applyAlignment="1">
      <alignment horizontal="center" vertical="center" wrapText="1"/>
    </xf>
    <xf numFmtId="14" fontId="48" fillId="0" borderId="1" xfId="0" applyNumberFormat="1" applyFont="1" applyFill="1" applyBorder="1" applyAlignment="1">
      <alignment horizontal="left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" fontId="41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vertical="center" wrapText="1"/>
    </xf>
    <xf numFmtId="0" fontId="69" fillId="3" borderId="3" xfId="0" applyFont="1" applyFill="1" applyBorder="1" applyAlignment="1">
      <alignment horizontal="center" vertical="center"/>
    </xf>
    <xf numFmtId="0" fontId="69" fillId="3" borderId="17" xfId="0" applyFont="1" applyFill="1" applyBorder="1" applyAlignment="1">
      <alignment horizontal="center" vertical="center"/>
    </xf>
    <xf numFmtId="0" fontId="24" fillId="0" borderId="0" xfId="0" applyFont="1" applyAlignment="1"/>
    <xf numFmtId="0" fontId="24" fillId="0" borderId="0" xfId="0" applyFont="1"/>
    <xf numFmtId="0" fontId="71" fillId="0" borderId="0" xfId="0" applyFont="1" applyAlignment="1">
      <alignment horizontal="left" vertical="top"/>
    </xf>
    <xf numFmtId="0" fontId="71" fillId="0" borderId="0" xfId="0" applyFont="1" applyAlignment="1"/>
    <xf numFmtId="0" fontId="41" fillId="0" borderId="0" xfId="0" applyFont="1"/>
    <xf numFmtId="0" fontId="35" fillId="0" borderId="0" xfId="0" applyFont="1" applyAlignment="1">
      <alignment vertical="center"/>
    </xf>
    <xf numFmtId="0" fontId="69" fillId="0" borderId="0" xfId="0" applyFont="1"/>
    <xf numFmtId="0" fontId="72" fillId="0" borderId="0" xfId="0" applyFont="1" applyAlignment="1">
      <alignment vertical="top" wrapText="1"/>
    </xf>
    <xf numFmtId="0" fontId="34" fillId="0" borderId="1" xfId="0" applyFont="1" applyBorder="1" applyAlignment="1">
      <alignment horizontal="center" vertical="center"/>
    </xf>
    <xf numFmtId="164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72" fillId="0" borderId="0" xfId="0" applyFont="1"/>
    <xf numFmtId="0" fontId="71" fillId="0" borderId="0" xfId="0" applyFont="1" applyAlignment="1">
      <alignment horizontal="left"/>
    </xf>
    <xf numFmtId="0" fontId="41" fillId="0" borderId="0" xfId="0" applyFont="1" applyAlignment="1"/>
    <xf numFmtId="0" fontId="35" fillId="0" borderId="0" xfId="0" applyFont="1"/>
    <xf numFmtId="0" fontId="73" fillId="0" borderId="0" xfId="0" applyFont="1" applyAlignment="1">
      <alignment horizontal="left"/>
    </xf>
    <xf numFmtId="0" fontId="73" fillId="0" borderId="0" xfId="0" applyFont="1"/>
    <xf numFmtId="0" fontId="71" fillId="0" borderId="0" xfId="0" applyFont="1"/>
    <xf numFmtId="0" fontId="71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49" fontId="41" fillId="0" borderId="0" xfId="0" applyNumberFormat="1" applyFont="1" applyAlignment="1">
      <alignment horizontal="center"/>
    </xf>
    <xf numFmtId="0" fontId="41" fillId="0" borderId="20" xfId="0" applyFont="1" applyBorder="1" applyAlignment="1"/>
    <xf numFmtId="164" fontId="72" fillId="0" borderId="0" xfId="0" applyNumberFormat="1" applyFont="1" applyAlignment="1"/>
    <xf numFmtId="0" fontId="24" fillId="6" borderId="20" xfId="0" applyFont="1" applyFill="1" applyBorder="1" applyAlignment="1">
      <alignment vertical="center"/>
    </xf>
    <xf numFmtId="0" fontId="29" fillId="9" borderId="1" xfId="0" applyFont="1" applyFill="1" applyBorder="1" applyAlignment="1">
      <alignment horizontal="center" vertical="center" textRotation="90" wrapText="1"/>
    </xf>
    <xf numFmtId="0" fontId="29" fillId="8" borderId="1" xfId="0" applyFont="1" applyFill="1" applyBorder="1" applyAlignment="1">
      <alignment horizontal="center" vertical="center" textRotation="90" wrapText="1"/>
    </xf>
    <xf numFmtId="0" fontId="69" fillId="6" borderId="20" xfId="0" applyFont="1" applyFill="1" applyBorder="1" applyAlignment="1">
      <alignment vertical="center"/>
    </xf>
    <xf numFmtId="0" fontId="69" fillId="6" borderId="20" xfId="0" applyFont="1" applyFill="1" applyBorder="1" applyAlignment="1">
      <alignment horizontal="left" vertical="center"/>
    </xf>
    <xf numFmtId="0" fontId="24" fillId="6" borderId="22" xfId="0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 wrapText="1"/>
    </xf>
    <xf numFmtId="0" fontId="22" fillId="0" borderId="1" xfId="1" applyFont="1" applyFill="1" applyBorder="1"/>
    <xf numFmtId="0" fontId="41" fillId="6" borderId="6" xfId="0" applyFont="1" applyFill="1" applyBorder="1" applyAlignment="1">
      <alignment vertical="center"/>
    </xf>
    <xf numFmtId="0" fontId="24" fillId="6" borderId="8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69" fillId="5" borderId="4" xfId="0" applyFont="1" applyFill="1" applyBorder="1" applyAlignment="1">
      <alignment vertical="center"/>
    </xf>
    <xf numFmtId="0" fontId="69" fillId="5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9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41" fillId="0" borderId="7" xfId="0" applyNumberFormat="1" applyFont="1" applyFill="1" applyBorder="1" applyAlignment="1">
      <alignment horizontal="center" vertical="center"/>
    </xf>
    <xf numFmtId="49" fontId="52" fillId="0" borderId="0" xfId="0" applyNumberFormat="1" applyFont="1" applyAlignment="1">
      <alignment horizontal="center"/>
    </xf>
    <xf numFmtId="0" fontId="81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49" fontId="41" fillId="0" borderId="0" xfId="0" applyNumberFormat="1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52" fillId="0" borderId="1" xfId="0" applyFont="1" applyBorder="1"/>
    <xf numFmtId="2" fontId="41" fillId="0" borderId="1" xfId="0" applyNumberFormat="1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/>
    </xf>
    <xf numFmtId="0" fontId="74" fillId="0" borderId="0" xfId="0" applyFont="1"/>
    <xf numFmtId="0" fontId="82" fillId="0" borderId="0" xfId="0" applyFont="1" applyAlignment="1"/>
    <xf numFmtId="0" fontId="82" fillId="0" borderId="0" xfId="0" applyFont="1"/>
    <xf numFmtId="0" fontId="83" fillId="0" borderId="0" xfId="0" applyFont="1" applyAlignment="1">
      <alignment horizontal="left" vertical="top"/>
    </xf>
    <xf numFmtId="0" fontId="83" fillId="0" borderId="0" xfId="0" applyFont="1" applyAlignment="1"/>
    <xf numFmtId="0" fontId="81" fillId="0" borderId="0" xfId="0" applyFont="1" applyAlignment="1">
      <alignment vertical="top" wrapText="1"/>
    </xf>
    <xf numFmtId="0" fontId="81" fillId="0" borderId="0" xfId="0" applyFont="1" applyAlignment="1">
      <alignment horizontal="left" vertical="top" wrapText="1"/>
    </xf>
    <xf numFmtId="0" fontId="24" fillId="9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83" fillId="0" borderId="0" xfId="0" applyFont="1" applyAlignment="1">
      <alignment horizontal="center"/>
    </xf>
    <xf numFmtId="0" fontId="52" fillId="0" borderId="0" xfId="0" applyFont="1" applyAlignment="1"/>
    <xf numFmtId="0" fontId="84" fillId="0" borderId="0" xfId="0" applyFont="1"/>
    <xf numFmtId="0" fontId="74" fillId="0" borderId="0" xfId="0" applyFont="1" applyAlignment="1"/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83" fillId="0" borderId="0" xfId="0" applyFont="1"/>
    <xf numFmtId="0" fontId="29" fillId="9" borderId="3" xfId="0" applyFont="1" applyFill="1" applyBorder="1" applyAlignment="1">
      <alignment horizontal="center" vertical="center" textRotation="90" wrapText="1"/>
    </xf>
    <xf numFmtId="0" fontId="29" fillId="8" borderId="3" xfId="0" applyFont="1" applyFill="1" applyBorder="1" applyAlignment="1">
      <alignment horizontal="center" vertical="center" textRotation="90" wrapText="1"/>
    </xf>
    <xf numFmtId="2" fontId="50" fillId="0" borderId="1" xfId="0" applyNumberFormat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/>
    </xf>
    <xf numFmtId="49" fontId="29" fillId="0" borderId="20" xfId="0" applyNumberFormat="1" applyFont="1" applyBorder="1" applyAlignment="1"/>
    <xf numFmtId="0" fontId="69" fillId="10" borderId="5" xfId="0" applyFont="1" applyFill="1" applyBorder="1" applyAlignment="1">
      <alignment vertical="center"/>
    </xf>
    <xf numFmtId="0" fontId="69" fillId="10" borderId="6" xfId="0" applyFont="1" applyFill="1" applyBorder="1" applyAlignment="1">
      <alignment vertical="center"/>
    </xf>
    <xf numFmtId="0" fontId="69" fillId="10" borderId="8" xfId="0" applyFont="1" applyFill="1" applyBorder="1" applyAlignment="1">
      <alignment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top"/>
    </xf>
    <xf numFmtId="0" fontId="51" fillId="10" borderId="5" xfId="0" applyFont="1" applyFill="1" applyBorder="1" applyAlignment="1">
      <alignment vertical="center"/>
    </xf>
    <xf numFmtId="0" fontId="51" fillId="10" borderId="6" xfId="0" applyFont="1" applyFill="1" applyBorder="1" applyAlignment="1">
      <alignment vertical="center"/>
    </xf>
    <xf numFmtId="0" fontId="51" fillId="10" borderId="6" xfId="0" applyFont="1" applyFill="1" applyBorder="1" applyAlignment="1">
      <alignment horizontal="left" vertical="center"/>
    </xf>
    <xf numFmtId="49" fontId="51" fillId="10" borderId="6" xfId="0" applyNumberFormat="1" applyFont="1" applyFill="1" applyBorder="1" applyAlignment="1">
      <alignment vertical="center"/>
    </xf>
    <xf numFmtId="0" fontId="52" fillId="10" borderId="6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horizontal="center" vertical="center" wrapText="1"/>
    </xf>
    <xf numFmtId="0" fontId="70" fillId="10" borderId="8" xfId="0" applyFont="1" applyFill="1" applyBorder="1" applyAlignment="1">
      <alignment horizontal="center" vertical="center" wrapText="1"/>
    </xf>
    <xf numFmtId="164" fontId="50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left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2" fillId="5" borderId="3" xfId="0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vertical="center"/>
    </xf>
    <xf numFmtId="164" fontId="50" fillId="0" borderId="7" xfId="0" applyNumberFormat="1" applyFont="1" applyFill="1" applyBorder="1" applyAlignment="1">
      <alignment horizontal="center" vertical="center" wrapText="1"/>
    </xf>
    <xf numFmtId="14" fontId="30" fillId="0" borderId="3" xfId="0" applyNumberFormat="1" applyFont="1" applyFill="1" applyBorder="1" applyAlignment="1">
      <alignment horizontal="left" vertical="center" wrapText="1"/>
    </xf>
    <xf numFmtId="49" fontId="51" fillId="0" borderId="14" xfId="0" applyNumberFormat="1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82" fillId="0" borderId="1" xfId="0" applyFont="1" applyFill="1" applyBorder="1" applyAlignment="1">
      <alignment vertical="center" wrapText="1"/>
    </xf>
    <xf numFmtId="0" fontId="85" fillId="0" borderId="1" xfId="0" applyFont="1" applyFill="1" applyBorder="1" applyAlignment="1">
      <alignment vertical="center" wrapText="1"/>
    </xf>
    <xf numFmtId="0" fontId="82" fillId="0" borderId="4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left" vertical="center" wrapText="1"/>
    </xf>
    <xf numFmtId="49" fontId="51" fillId="5" borderId="1" xfId="0" applyNumberFormat="1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82" fillId="3" borderId="1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164" fontId="86" fillId="0" borderId="3" xfId="0" applyNumberFormat="1" applyFont="1" applyFill="1" applyBorder="1" applyAlignment="1">
      <alignment vertical="center"/>
    </xf>
    <xf numFmtId="0" fontId="86" fillId="0" borderId="3" xfId="0" applyFont="1" applyFill="1" applyBorder="1" applyAlignment="1">
      <alignment vertical="center" wrapText="1"/>
    </xf>
    <xf numFmtId="0" fontId="86" fillId="0" borderId="3" xfId="0" applyFont="1" applyFill="1" applyBorder="1" applyAlignment="1">
      <alignment horizontal="center" vertical="center" wrapText="1"/>
    </xf>
    <xf numFmtId="49" fontId="8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7" fillId="0" borderId="0" xfId="0" applyFont="1"/>
    <xf numFmtId="0" fontId="0" fillId="0" borderId="0" xfId="0" applyFont="1"/>
    <xf numFmtId="0" fontId="81" fillId="0" borderId="0" xfId="0" applyFont="1" applyAlignment="1"/>
    <xf numFmtId="0" fontId="88" fillId="0" borderId="0" xfId="0" applyFont="1"/>
    <xf numFmtId="0" fontId="24" fillId="15" borderId="1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9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1" fillId="0" borderId="0" xfId="0" applyFont="1"/>
    <xf numFmtId="0" fontId="88" fillId="0" borderId="0" xfId="0" applyFont="1" applyAlignment="1"/>
    <xf numFmtId="0" fontId="19" fillId="0" borderId="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/>
    </xf>
    <xf numFmtId="0" fontId="52" fillId="0" borderId="0" xfId="0" applyFont="1" applyAlignment="1">
      <alignment horizontal="left" vertical="top" wrapText="1"/>
    </xf>
    <xf numFmtId="0" fontId="69" fillId="3" borderId="16" xfId="1" applyFont="1" applyFill="1" applyBorder="1" applyAlignment="1">
      <alignment horizontal="center" vertical="center" wrapText="1"/>
    </xf>
    <xf numFmtId="0" fontId="69" fillId="3" borderId="25" xfId="1" applyFont="1" applyFill="1" applyBorder="1" applyAlignment="1">
      <alignment horizontal="center" vertical="center" wrapText="1"/>
    </xf>
    <xf numFmtId="0" fontId="69" fillId="3" borderId="23" xfId="1" applyFont="1" applyFill="1" applyBorder="1" applyAlignment="1">
      <alignment horizontal="center" vertical="center" wrapText="1"/>
    </xf>
    <xf numFmtId="0" fontId="69" fillId="3" borderId="18" xfId="1" applyFont="1" applyFill="1" applyBorder="1" applyAlignment="1">
      <alignment horizontal="center" vertical="center" wrapText="1"/>
    </xf>
    <xf numFmtId="0" fontId="69" fillId="3" borderId="24" xfId="1" applyFont="1" applyFill="1" applyBorder="1" applyAlignment="1">
      <alignment horizontal="center" vertical="center" wrapText="1"/>
    </xf>
    <xf numFmtId="0" fontId="69" fillId="3" borderId="19" xfId="1" applyFont="1" applyFill="1" applyBorder="1" applyAlignment="1">
      <alignment horizontal="center" vertical="center" wrapText="1"/>
    </xf>
    <xf numFmtId="0" fontId="69" fillId="5" borderId="5" xfId="0" applyFont="1" applyFill="1" applyBorder="1" applyAlignment="1">
      <alignment horizontal="center" vertical="center"/>
    </xf>
    <xf numFmtId="0" fontId="69" fillId="5" borderId="6" xfId="0" applyFont="1" applyFill="1" applyBorder="1" applyAlignment="1">
      <alignment horizontal="center" vertical="center"/>
    </xf>
    <xf numFmtId="0" fontId="69" fillId="5" borderId="8" xfId="0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164" fontId="69" fillId="0" borderId="1" xfId="0" applyNumberFormat="1" applyFont="1" applyFill="1" applyBorder="1" applyAlignment="1">
      <alignment horizontal="center" vertical="center"/>
    </xf>
    <xf numFmtId="164" fontId="69" fillId="0" borderId="3" xfId="0" applyNumberFormat="1" applyFont="1" applyFill="1" applyBorder="1" applyAlignment="1">
      <alignment horizontal="center" vertical="center"/>
    </xf>
    <xf numFmtId="164" fontId="69" fillId="0" borderId="2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left" vertical="top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69" fillId="8" borderId="5" xfId="0" applyFont="1" applyFill="1" applyBorder="1" applyAlignment="1">
      <alignment horizontal="center" vertical="center" wrapText="1"/>
    </xf>
    <xf numFmtId="0" fontId="69" fillId="8" borderId="8" xfId="0" applyFont="1" applyFill="1" applyBorder="1" applyAlignment="1">
      <alignment horizontal="center" vertical="center" wrapText="1"/>
    </xf>
    <xf numFmtId="0" fontId="69" fillId="8" borderId="3" xfId="0" applyFont="1" applyFill="1" applyBorder="1" applyAlignment="1">
      <alignment horizontal="center" vertical="center" textRotation="90" wrapText="1"/>
    </xf>
    <xf numFmtId="0" fontId="69" fillId="8" borderId="10" xfId="0" applyFont="1" applyFill="1" applyBorder="1" applyAlignment="1">
      <alignment horizontal="center" vertical="center" textRotation="90" wrapText="1"/>
    </xf>
    <xf numFmtId="0" fontId="69" fillId="4" borderId="1" xfId="0" applyFont="1" applyFill="1" applyBorder="1" applyAlignment="1">
      <alignment horizontal="center" vertical="center" wrapText="1"/>
    </xf>
    <xf numFmtId="0" fontId="69" fillId="9" borderId="5" xfId="0" applyFont="1" applyFill="1" applyBorder="1" applyAlignment="1">
      <alignment horizontal="center" vertical="center" wrapText="1"/>
    </xf>
    <xf numFmtId="0" fontId="69" fillId="9" borderId="6" xfId="0" applyFont="1" applyFill="1" applyBorder="1" applyAlignment="1">
      <alignment horizontal="center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9" fillId="8" borderId="6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9" fillId="9" borderId="3" xfId="0" applyFont="1" applyFill="1" applyBorder="1" applyAlignment="1">
      <alignment horizontal="center" vertical="center" textRotation="90" wrapText="1"/>
    </xf>
    <xf numFmtId="0" fontId="69" fillId="9" borderId="1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left" vertical="center" wrapText="1"/>
    </xf>
    <xf numFmtId="49" fontId="82" fillId="0" borderId="0" xfId="0" applyNumberFormat="1" applyFont="1" applyAlignment="1">
      <alignment horizontal="left" vertical="center" wrapText="1"/>
    </xf>
    <xf numFmtId="49" fontId="82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0" fontId="32" fillId="5" borderId="18" xfId="3" applyFont="1" applyFill="1" applyBorder="1" applyAlignment="1">
      <alignment horizontal="center" vertical="center" wrapText="1"/>
    </xf>
    <xf numFmtId="0" fontId="32" fillId="5" borderId="24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horizontal="center" vertical="center" wrapText="1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69" fillId="5" borderId="21" xfId="0" applyFont="1" applyFill="1" applyBorder="1" applyAlignment="1">
      <alignment horizontal="center" vertical="center"/>
    </xf>
    <xf numFmtId="0" fontId="69" fillId="5" borderId="20" xfId="0" applyFont="1" applyFill="1" applyBorder="1" applyAlignment="1">
      <alignment horizontal="center" vertical="center"/>
    </xf>
    <xf numFmtId="0" fontId="69" fillId="5" borderId="22" xfId="0" applyFont="1" applyFill="1" applyBorder="1" applyAlignment="1">
      <alignment horizontal="center" vertical="center"/>
    </xf>
    <xf numFmtId="0" fontId="45" fillId="10" borderId="5" xfId="0" applyFont="1" applyFill="1" applyBorder="1" applyAlignment="1">
      <alignment horizontal="left" vertical="center"/>
    </xf>
    <xf numFmtId="0" fontId="45" fillId="10" borderId="6" xfId="0" applyFont="1" applyFill="1" applyBorder="1" applyAlignment="1">
      <alignment horizontal="left" vertical="center"/>
    </xf>
    <xf numFmtId="0" fontId="45" fillId="10" borderId="8" xfId="0" applyFont="1" applyFill="1" applyBorder="1" applyAlignment="1">
      <alignment horizontal="left" vertical="center"/>
    </xf>
    <xf numFmtId="0" fontId="69" fillId="9" borderId="4" xfId="0" applyFont="1" applyFill="1" applyBorder="1" applyAlignment="1">
      <alignment horizontal="center" vertical="center" textRotation="90" wrapText="1"/>
    </xf>
    <xf numFmtId="0" fontId="77" fillId="0" borderId="0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/>
    </xf>
    <xf numFmtId="49" fontId="69" fillId="0" borderId="3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textRotation="90" wrapText="1"/>
    </xf>
    <xf numFmtId="0" fontId="69" fillId="3" borderId="26" xfId="1" applyFont="1" applyFill="1" applyBorder="1" applyAlignment="1">
      <alignment horizontal="center" vertical="center" wrapText="1"/>
    </xf>
    <xf numFmtId="0" fontId="69" fillId="3" borderId="27" xfId="1" applyFont="1" applyFill="1" applyBorder="1" applyAlignment="1">
      <alignment horizontal="center" vertical="center" wrapText="1"/>
    </xf>
    <xf numFmtId="0" fontId="69" fillId="3" borderId="28" xfId="1" applyFont="1" applyFill="1" applyBorder="1" applyAlignment="1">
      <alignment horizontal="center" vertical="center" wrapText="1"/>
    </xf>
    <xf numFmtId="0" fontId="32" fillId="5" borderId="5" xfId="3" applyFont="1" applyFill="1" applyBorder="1" applyAlignment="1">
      <alignment horizontal="center" vertical="center" wrapText="1"/>
    </xf>
    <xf numFmtId="0" fontId="32" fillId="5" borderId="6" xfId="3" applyFont="1" applyFill="1" applyBorder="1" applyAlignment="1">
      <alignment horizontal="center" vertical="center" wrapText="1"/>
    </xf>
    <xf numFmtId="0" fontId="32" fillId="5" borderId="8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left" vertical="center" wrapText="1"/>
    </xf>
    <xf numFmtId="0" fontId="24" fillId="7" borderId="8" xfId="3" applyFont="1" applyFill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70" fillId="8" borderId="5" xfId="0" applyFont="1" applyFill="1" applyBorder="1" applyAlignment="1">
      <alignment horizontal="center" vertical="center" wrapText="1"/>
    </xf>
    <xf numFmtId="0" fontId="70" fillId="8" borderId="8" xfId="0" applyFont="1" applyFill="1" applyBorder="1" applyAlignment="1">
      <alignment horizontal="center" vertical="center" wrapText="1"/>
    </xf>
    <xf numFmtId="0" fontId="69" fillId="4" borderId="5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8" xfId="0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8" borderId="9" xfId="0" applyFont="1" applyFill="1" applyBorder="1" applyAlignment="1">
      <alignment horizontal="center" vertical="center" textRotation="90" wrapText="1"/>
    </xf>
    <xf numFmtId="49" fontId="35" fillId="2" borderId="0" xfId="0" applyNumberFormat="1" applyFont="1" applyFill="1" applyAlignment="1">
      <alignment horizontal="left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69" fillId="9" borderId="9" xfId="0" applyFont="1" applyFill="1" applyBorder="1" applyAlignment="1">
      <alignment horizontal="center" vertical="center" textRotation="90" wrapText="1"/>
    </xf>
    <xf numFmtId="0" fontId="24" fillId="2" borderId="6" xfId="3" applyFont="1" applyFill="1" applyBorder="1" applyAlignment="1">
      <alignment horizontal="left" vertical="center" wrapText="1"/>
    </xf>
    <xf numFmtId="0" fontId="69" fillId="5" borderId="11" xfId="0" applyFont="1" applyFill="1" applyBorder="1" applyAlignment="1">
      <alignment horizontal="center" vertical="center"/>
    </xf>
    <xf numFmtId="0" fontId="69" fillId="5" borderId="12" xfId="0" applyFont="1" applyFill="1" applyBorder="1" applyAlignment="1">
      <alignment horizontal="center" vertical="center"/>
    </xf>
    <xf numFmtId="0" fontId="69" fillId="5" borderId="13" xfId="0" applyFont="1" applyFill="1" applyBorder="1" applyAlignment="1">
      <alignment horizontal="center" vertical="center"/>
    </xf>
    <xf numFmtId="0" fontId="32" fillId="5" borderId="7" xfId="3" applyFont="1" applyFill="1" applyBorder="1" applyAlignment="1">
      <alignment horizontal="center" vertical="center" wrapText="1"/>
    </xf>
    <xf numFmtId="0" fontId="32" fillId="5" borderId="29" xfId="3" applyFont="1" applyFill="1" applyBorder="1" applyAlignment="1">
      <alignment horizontal="center" vertical="center" wrapText="1"/>
    </xf>
    <xf numFmtId="0" fontId="32" fillId="5" borderId="14" xfId="3" applyFont="1" applyFill="1" applyBorder="1" applyAlignment="1">
      <alignment horizontal="center" vertical="center" wrapText="1"/>
    </xf>
    <xf numFmtId="0" fontId="69" fillId="10" borderId="5" xfId="0" applyFont="1" applyFill="1" applyBorder="1" applyAlignment="1">
      <alignment horizontal="left" vertical="center"/>
    </xf>
    <xf numFmtId="0" fontId="69" fillId="10" borderId="6" xfId="0" applyFont="1" applyFill="1" applyBorder="1" applyAlignment="1">
      <alignment horizontal="left" vertical="center"/>
    </xf>
    <xf numFmtId="0" fontId="69" fillId="10" borderId="8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6" fillId="5" borderId="5" xfId="3" applyFont="1" applyFill="1" applyBorder="1" applyAlignment="1">
      <alignment horizontal="center" vertical="center" wrapText="1"/>
    </xf>
    <xf numFmtId="0" fontId="46" fillId="5" borderId="6" xfId="3" applyFont="1" applyFill="1" applyBorder="1" applyAlignment="1">
      <alignment horizontal="center" vertical="center" wrapText="1"/>
    </xf>
    <xf numFmtId="0" fontId="46" fillId="5" borderId="8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left" vertical="center" wrapText="1"/>
    </xf>
    <xf numFmtId="0" fontId="45" fillId="2" borderId="14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45" fillId="0" borderId="5" xfId="3" applyFont="1" applyFill="1" applyBorder="1" applyAlignment="1">
      <alignment horizontal="left" vertical="center" wrapText="1"/>
    </xf>
    <xf numFmtId="0" fontId="45" fillId="0" borderId="8" xfId="3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51" fillId="10" borderId="5" xfId="0" applyFont="1" applyFill="1" applyBorder="1" applyAlignment="1">
      <alignment horizontal="left" vertical="center"/>
    </xf>
    <xf numFmtId="0" fontId="51" fillId="10" borderId="6" xfId="0" applyFont="1" applyFill="1" applyBorder="1" applyAlignment="1">
      <alignment horizontal="left" vertical="center"/>
    </xf>
    <xf numFmtId="0" fontId="51" fillId="10" borderId="8" xfId="0" applyFont="1" applyFill="1" applyBorder="1" applyAlignment="1">
      <alignment horizontal="left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29" xfId="0" applyFont="1" applyFill="1" applyBorder="1" applyAlignment="1">
      <alignment horizontal="center" vertical="center"/>
    </xf>
    <xf numFmtId="0" fontId="51" fillId="5" borderId="14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 wrapText="1"/>
    </xf>
    <xf numFmtId="0" fontId="51" fillId="5" borderId="1" xfId="0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center" vertical="center" wrapText="1"/>
    </xf>
    <xf numFmtId="0" fontId="45" fillId="3" borderId="6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center" vertical="center"/>
    </xf>
    <xf numFmtId="164" fontId="50" fillId="0" borderId="4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textRotation="90"/>
    </xf>
    <xf numFmtId="164" fontId="17" fillId="11" borderId="5" xfId="0" applyNumberFormat="1" applyFont="1" applyFill="1" applyBorder="1" applyAlignment="1">
      <alignment horizontal="left" vertical="center"/>
    </xf>
    <xf numFmtId="164" fontId="17" fillId="11" borderId="6" xfId="0" applyNumberFormat="1" applyFont="1" applyFill="1" applyBorder="1" applyAlignment="1">
      <alignment horizontal="left" vertical="center"/>
    </xf>
    <xf numFmtId="164" fontId="17" fillId="11" borderId="8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164" fontId="6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left" vertical="center" wrapText="1"/>
    </xf>
    <xf numFmtId="164" fontId="6" fillId="13" borderId="6" xfId="0" applyNumberFormat="1" applyFont="1" applyFill="1" applyBorder="1" applyAlignment="1">
      <alignment horizontal="left" vertical="center" wrapText="1"/>
    </xf>
    <xf numFmtId="164" fontId="6" fillId="13" borderId="8" xfId="0" applyNumberFormat="1" applyFont="1" applyFill="1" applyBorder="1" applyAlignment="1">
      <alignment horizontal="left" vertical="center" wrapText="1"/>
    </xf>
    <xf numFmtId="0" fontId="5" fillId="13" borderId="5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0" fontId="92" fillId="0" borderId="0" xfId="9"/>
    <xf numFmtId="0" fontId="12" fillId="0" borderId="0" xfId="9" applyFont="1"/>
    <xf numFmtId="0" fontId="81" fillId="0" borderId="0" xfId="9" applyFont="1" applyAlignment="1"/>
    <xf numFmtId="0" fontId="18" fillId="0" borderId="0" xfId="9" applyFont="1"/>
    <xf numFmtId="0" fontId="13" fillId="0" borderId="0" xfId="9" applyFont="1"/>
    <xf numFmtId="0" fontId="84" fillId="0" borderId="0" xfId="9" applyFont="1" applyAlignment="1"/>
    <xf numFmtId="0" fontId="26" fillId="0" borderId="0" xfId="9" applyFont="1"/>
    <xf numFmtId="0" fontId="64" fillId="0" borderId="0" xfId="9" applyFont="1" applyAlignment="1"/>
    <xf numFmtId="0" fontId="92" fillId="0" borderId="0" xfId="9" applyFont="1"/>
    <xf numFmtId="0" fontId="19" fillId="0" borderId="0" xfId="9" applyFont="1"/>
    <xf numFmtId="0" fontId="84" fillId="0" borderId="0" xfId="9" applyFont="1"/>
    <xf numFmtId="0" fontId="64" fillId="0" borderId="0" xfId="9" applyFont="1"/>
    <xf numFmtId="0" fontId="52" fillId="0" borderId="0" xfId="9" applyFont="1"/>
    <xf numFmtId="0" fontId="92" fillId="0" borderId="0" xfId="9" applyAlignment="1">
      <alignment wrapText="1"/>
    </xf>
    <xf numFmtId="0" fontId="42" fillId="0" borderId="0" xfId="9" applyFont="1"/>
    <xf numFmtId="0" fontId="88" fillId="0" borderId="0" xfId="9" applyFont="1"/>
    <xf numFmtId="0" fontId="24" fillId="0" borderId="1" xfId="9" applyFont="1" applyFill="1" applyBorder="1" applyAlignment="1">
      <alignment horizontal="center" vertical="center" wrapText="1"/>
    </xf>
    <xf numFmtId="0" fontId="24" fillId="8" borderId="1" xfId="9" applyFont="1" applyFill="1" applyBorder="1" applyAlignment="1">
      <alignment horizontal="center" vertical="center" wrapText="1"/>
    </xf>
    <xf numFmtId="0" fontId="24" fillId="9" borderId="1" xfId="9" applyFont="1" applyFill="1" applyBorder="1" applyAlignment="1">
      <alignment horizontal="center" vertical="center" wrapText="1"/>
    </xf>
    <xf numFmtId="0" fontId="41" fillId="0" borderId="1" xfId="9" applyFont="1" applyFill="1" applyBorder="1" applyAlignment="1">
      <alignment horizontal="center" vertical="center" wrapText="1"/>
    </xf>
    <xf numFmtId="49" fontId="41" fillId="0" borderId="1" xfId="9" applyNumberFormat="1" applyFont="1" applyFill="1" applyBorder="1" applyAlignment="1">
      <alignment horizontal="center" vertical="center" wrapText="1"/>
    </xf>
    <xf numFmtId="0" fontId="69" fillId="0" borderId="1" xfId="9" applyFont="1" applyFill="1" applyBorder="1" applyAlignment="1">
      <alignment horizontal="center" vertical="center" wrapText="1"/>
    </xf>
    <xf numFmtId="14" fontId="41" fillId="0" borderId="1" xfId="9" applyNumberFormat="1" applyFont="1" applyFill="1" applyBorder="1" applyAlignment="1">
      <alignment horizontal="left" vertical="center" wrapText="1"/>
    </xf>
    <xf numFmtId="49" fontId="41" fillId="0" borderId="1" xfId="9" applyNumberFormat="1" applyFont="1" applyFill="1" applyBorder="1" applyAlignment="1">
      <alignment horizontal="center" vertical="center"/>
    </xf>
    <xf numFmtId="49" fontId="41" fillId="0" borderId="5" xfId="9" applyNumberFormat="1" applyFont="1" applyFill="1" applyBorder="1" applyAlignment="1">
      <alignment horizontal="center" vertical="center"/>
    </xf>
    <xf numFmtId="0" fontId="55" fillId="0" borderId="0" xfId="9" applyFont="1"/>
    <xf numFmtId="49" fontId="35" fillId="0" borderId="0" xfId="9" applyNumberFormat="1" applyFont="1" applyAlignment="1">
      <alignment horizontal="left" vertical="center"/>
    </xf>
    <xf numFmtId="0" fontId="52" fillId="0" borderId="0" xfId="9" applyFont="1" applyAlignment="1">
      <alignment horizontal="center"/>
    </xf>
    <xf numFmtId="0" fontId="81" fillId="0" borderId="0" xfId="9" applyFont="1"/>
    <xf numFmtId="164" fontId="52" fillId="0" borderId="0" xfId="9" applyNumberFormat="1" applyFont="1" applyAlignment="1">
      <alignment horizontal="center"/>
    </xf>
    <xf numFmtId="0" fontId="69" fillId="3" borderId="17" xfId="9" applyFont="1" applyFill="1" applyBorder="1" applyAlignment="1">
      <alignment horizontal="center" vertical="center"/>
    </xf>
    <xf numFmtId="0" fontId="69" fillId="3" borderId="23" xfId="10" applyFont="1" applyFill="1" applyBorder="1" applyAlignment="1">
      <alignment horizontal="center" vertical="center" wrapText="1"/>
    </xf>
    <xf numFmtId="0" fontId="69" fillId="3" borderId="25" xfId="10" applyFont="1" applyFill="1" applyBorder="1" applyAlignment="1">
      <alignment horizontal="center" vertical="center" wrapText="1"/>
    </xf>
    <xf numFmtId="0" fontId="69" fillId="3" borderId="16" xfId="10" applyFont="1" applyFill="1" applyBorder="1" applyAlignment="1">
      <alignment horizontal="center" vertical="center" wrapText="1"/>
    </xf>
    <xf numFmtId="0" fontId="24" fillId="5" borderId="1" xfId="9" applyFont="1" applyFill="1" applyBorder="1" applyAlignment="1">
      <alignment horizontal="center" vertical="center" wrapText="1"/>
    </xf>
    <xf numFmtId="0" fontId="52" fillId="0" borderId="0" xfId="9" applyFont="1" applyFill="1"/>
    <xf numFmtId="49" fontId="41" fillId="0" borderId="9" xfId="9" applyNumberFormat="1" applyFont="1" applyFill="1" applyBorder="1" applyAlignment="1">
      <alignment horizontal="center" vertical="center"/>
    </xf>
    <xf numFmtId="0" fontId="24" fillId="6" borderId="8" xfId="9" applyFont="1" applyFill="1" applyBorder="1" applyAlignment="1">
      <alignment vertical="center"/>
    </xf>
    <xf numFmtId="0" fontId="24" fillId="6" borderId="6" xfId="9" applyFont="1" applyFill="1" applyBorder="1" applyAlignment="1">
      <alignment vertical="center"/>
    </xf>
    <xf numFmtId="0" fontId="69" fillId="6" borderId="6" xfId="9" applyFont="1" applyFill="1" applyBorder="1" applyAlignment="1">
      <alignment vertical="center"/>
    </xf>
    <xf numFmtId="0" fontId="69" fillId="6" borderId="6" xfId="9" applyFont="1" applyFill="1" applyBorder="1" applyAlignment="1">
      <alignment horizontal="left" vertical="center"/>
    </xf>
    <xf numFmtId="0" fontId="69" fillId="6" borderId="5" xfId="9" applyFont="1" applyFill="1" applyBorder="1" applyAlignment="1">
      <alignment vertical="center"/>
    </xf>
    <xf numFmtId="0" fontId="69" fillId="5" borderId="8" xfId="9" applyFont="1" applyFill="1" applyBorder="1" applyAlignment="1">
      <alignment horizontal="center" vertical="center"/>
    </xf>
    <xf numFmtId="0" fontId="69" fillId="5" borderId="6" xfId="9" applyFont="1" applyFill="1" applyBorder="1" applyAlignment="1">
      <alignment horizontal="center" vertical="center"/>
    </xf>
    <xf numFmtId="0" fontId="69" fillId="5" borderId="5" xfId="9" applyFont="1" applyFill="1" applyBorder="1" applyAlignment="1">
      <alignment horizontal="center" vertical="center"/>
    </xf>
    <xf numFmtId="0" fontId="24" fillId="2" borderId="1" xfId="9" applyFont="1" applyFill="1" applyBorder="1" applyAlignment="1">
      <alignment horizontal="center" vertical="center"/>
    </xf>
    <xf numFmtId="0" fontId="69" fillId="0" borderId="3" xfId="9" applyFont="1" applyFill="1" applyBorder="1" applyAlignment="1">
      <alignment horizontal="center" vertical="center" wrapText="1"/>
    </xf>
    <xf numFmtId="0" fontId="22" fillId="0" borderId="8" xfId="9" applyFont="1" applyFill="1" applyBorder="1" applyAlignment="1">
      <alignment vertical="center" wrapText="1"/>
    </xf>
    <xf numFmtId="164" fontId="41" fillId="0" borderId="1" xfId="9" applyNumberFormat="1" applyFont="1" applyFill="1" applyBorder="1" applyAlignment="1">
      <alignment horizontal="center" vertical="center"/>
    </xf>
    <xf numFmtId="0" fontId="41" fillId="6" borderId="6" xfId="9" applyFont="1" applyFill="1" applyBorder="1" applyAlignment="1">
      <alignment vertical="center"/>
    </xf>
    <xf numFmtId="0" fontId="22" fillId="0" borderId="1" xfId="9" applyFont="1" applyFill="1" applyBorder="1" applyAlignment="1">
      <alignment vertical="center" wrapText="1"/>
    </xf>
    <xf numFmtId="0" fontId="89" fillId="9" borderId="1" xfId="9" applyFont="1" applyFill="1" applyBorder="1" applyAlignment="1">
      <alignment horizontal="center" vertical="center" wrapText="1"/>
    </xf>
    <xf numFmtId="2" fontId="41" fillId="0" borderId="1" xfId="9" applyNumberFormat="1" applyFont="1" applyFill="1" applyBorder="1" applyAlignment="1">
      <alignment horizontal="center" vertical="center"/>
    </xf>
    <xf numFmtId="0" fontId="22" fillId="0" borderId="7" xfId="9" applyFont="1" applyFill="1" applyBorder="1" applyAlignment="1">
      <alignment vertical="center" wrapText="1"/>
    </xf>
    <xf numFmtId="0" fontId="89" fillId="8" borderId="1" xfId="9" applyFont="1" applyFill="1" applyBorder="1" applyAlignment="1">
      <alignment horizontal="center" vertical="center" wrapText="1"/>
    </xf>
    <xf numFmtId="0" fontId="92" fillId="0" borderId="0" xfId="9" applyBorder="1"/>
    <xf numFmtId="164" fontId="41" fillId="0" borderId="5" xfId="9" applyNumberFormat="1" applyFont="1" applyFill="1" applyBorder="1" applyAlignment="1">
      <alignment horizontal="center" vertical="center"/>
    </xf>
    <xf numFmtId="0" fontId="24" fillId="6" borderId="20" xfId="9" applyFont="1" applyFill="1" applyBorder="1" applyAlignment="1">
      <alignment vertical="center"/>
    </xf>
    <xf numFmtId="0" fontId="69" fillId="6" borderId="20" xfId="9" applyFont="1" applyFill="1" applyBorder="1" applyAlignment="1">
      <alignment vertical="center"/>
    </xf>
    <xf numFmtId="0" fontId="69" fillId="6" borderId="20" xfId="9" applyFont="1" applyFill="1" applyBorder="1" applyAlignment="1">
      <alignment horizontal="left" vertical="center"/>
    </xf>
    <xf numFmtId="0" fontId="69" fillId="6" borderId="21" xfId="9" applyFont="1" applyFill="1" applyBorder="1" applyAlignment="1">
      <alignment vertical="center"/>
    </xf>
    <xf numFmtId="0" fontId="60" fillId="0" borderId="1" xfId="9" applyFont="1" applyBorder="1"/>
    <xf numFmtId="0" fontId="60" fillId="0" borderId="0" xfId="9" applyFont="1" applyBorder="1"/>
    <xf numFmtId="0" fontId="24" fillId="5" borderId="5" xfId="9" applyFont="1" applyFill="1" applyBorder="1" applyAlignment="1">
      <alignment horizontal="center" vertical="center" wrapText="1"/>
    </xf>
    <xf numFmtId="0" fontId="45" fillId="5" borderId="1" xfId="9" applyFont="1" applyFill="1" applyBorder="1" applyAlignment="1">
      <alignment horizontal="left" vertical="center"/>
    </xf>
    <xf numFmtId="0" fontId="45" fillId="5" borderId="1" xfId="9" applyFont="1" applyFill="1" applyBorder="1" applyAlignment="1">
      <alignment horizontal="center" vertical="center"/>
    </xf>
    <xf numFmtId="0" fontId="45" fillId="5" borderId="8" xfId="9" applyFont="1" applyFill="1" applyBorder="1" applyAlignment="1">
      <alignment horizontal="center" vertical="center"/>
    </xf>
    <xf numFmtId="0" fontId="45" fillId="5" borderId="6" xfId="9" applyFont="1" applyFill="1" applyBorder="1" applyAlignment="1">
      <alignment horizontal="center" vertical="center"/>
    </xf>
    <xf numFmtId="0" fontId="45" fillId="5" borderId="5" xfId="9" applyFont="1" applyFill="1" applyBorder="1" applyAlignment="1">
      <alignment horizontal="center" vertical="center"/>
    </xf>
    <xf numFmtId="0" fontId="60" fillId="0" borderId="0" xfId="9" applyFont="1"/>
    <xf numFmtId="0" fontId="24" fillId="2" borderId="3" xfId="9" applyFont="1" applyFill="1" applyBorder="1" applyAlignment="1">
      <alignment horizontal="center" vertical="center" wrapText="1"/>
    </xf>
    <xf numFmtId="0" fontId="24" fillId="15" borderId="3" xfId="9" applyFont="1" applyFill="1" applyBorder="1" applyAlignment="1">
      <alignment horizontal="center" vertical="center" wrapText="1"/>
    </xf>
    <xf numFmtId="0" fontId="24" fillId="11" borderId="3" xfId="9" applyFont="1" applyFill="1" applyBorder="1" applyAlignment="1">
      <alignment horizontal="center" vertical="center" wrapText="1"/>
    </xf>
    <xf numFmtId="0" fontId="45" fillId="11" borderId="3" xfId="9" applyFont="1" applyFill="1" applyBorder="1" applyAlignment="1">
      <alignment horizontal="left" vertical="center"/>
    </xf>
    <xf numFmtId="0" fontId="45" fillId="11" borderId="3" xfId="9" applyFont="1" applyFill="1" applyBorder="1" applyAlignment="1">
      <alignment horizontal="center" vertical="center"/>
    </xf>
    <xf numFmtId="0" fontId="45" fillId="2" borderId="3" xfId="9" applyFont="1" applyFill="1" applyBorder="1" applyAlignment="1">
      <alignment horizontal="left" vertical="center"/>
    </xf>
    <xf numFmtId="0" fontId="45" fillId="2" borderId="3" xfId="9" applyFont="1" applyFill="1" applyBorder="1" applyAlignment="1">
      <alignment horizontal="center" vertical="center"/>
    </xf>
    <xf numFmtId="14" fontId="41" fillId="0" borderId="3" xfId="9" applyNumberFormat="1" applyFont="1" applyFill="1" applyBorder="1" applyAlignment="1">
      <alignment horizontal="left" vertical="center" wrapText="1"/>
    </xf>
    <xf numFmtId="0" fontId="48" fillId="2" borderId="3" xfId="9" applyFont="1" applyFill="1" applyBorder="1" applyAlignment="1">
      <alignment horizontal="left" vertical="center"/>
    </xf>
    <xf numFmtId="0" fontId="24" fillId="6" borderId="22" xfId="9" applyFont="1" applyFill="1" applyBorder="1" applyAlignment="1">
      <alignment vertical="center"/>
    </xf>
    <xf numFmtId="0" fontId="75" fillId="0" borderId="9" xfId="9" applyFont="1" applyFill="1" applyBorder="1" applyAlignment="1">
      <alignment horizontal="center" vertical="center" wrapText="1"/>
    </xf>
    <xf numFmtId="0" fontId="69" fillId="8" borderId="9" xfId="9" applyFont="1" applyFill="1" applyBorder="1" applyAlignment="1">
      <alignment horizontal="center" vertical="center" textRotation="90" wrapText="1"/>
    </xf>
    <xf numFmtId="0" fontId="29" fillId="8" borderId="3" xfId="9" applyFont="1" applyFill="1" applyBorder="1" applyAlignment="1">
      <alignment horizontal="center" vertical="center" textRotation="90" wrapText="1"/>
    </xf>
    <xf numFmtId="0" fontId="69" fillId="9" borderId="9" xfId="9" applyFont="1" applyFill="1" applyBorder="1" applyAlignment="1">
      <alignment horizontal="center" vertical="center" wrapText="1"/>
    </xf>
    <xf numFmtId="0" fontId="29" fillId="9" borderId="3" xfId="9" applyFont="1" applyFill="1" applyBorder="1" applyAlignment="1">
      <alignment horizontal="center" vertical="center" textRotation="90" wrapText="1"/>
    </xf>
    <xf numFmtId="0" fontId="69" fillId="0" borderId="9" xfId="9" applyFont="1" applyFill="1" applyBorder="1" applyAlignment="1">
      <alignment horizontal="center" vertical="center" wrapText="1"/>
    </xf>
    <xf numFmtId="0" fontId="69" fillId="0" borderId="3" xfId="9" applyFont="1" applyFill="1" applyBorder="1" applyAlignment="1">
      <alignment horizontal="center" vertical="center" wrapText="1"/>
    </xf>
    <xf numFmtId="164" fontId="69" fillId="0" borderId="3" xfId="9" applyNumberFormat="1" applyFont="1" applyFill="1" applyBorder="1" applyAlignment="1">
      <alignment horizontal="center" vertical="center"/>
    </xf>
    <xf numFmtId="0" fontId="69" fillId="8" borderId="3" xfId="9" applyFont="1" applyFill="1" applyBorder="1" applyAlignment="1">
      <alignment horizontal="center" vertical="center" textRotation="90" wrapText="1"/>
    </xf>
    <xf numFmtId="0" fontId="69" fillId="8" borderId="8" xfId="9" applyFont="1" applyFill="1" applyBorder="1" applyAlignment="1">
      <alignment horizontal="center" vertical="center" wrapText="1"/>
    </xf>
    <xf numFmtId="0" fontId="69" fillId="8" borderId="5" xfId="9" applyFont="1" applyFill="1" applyBorder="1" applyAlignment="1">
      <alignment horizontal="center" vertical="center" wrapText="1"/>
    </xf>
    <xf numFmtId="0" fontId="69" fillId="9" borderId="3" xfId="9" applyFont="1" applyFill="1" applyBorder="1" applyAlignment="1">
      <alignment horizontal="center" vertical="center" wrapText="1"/>
    </xf>
    <xf numFmtId="0" fontId="69" fillId="9" borderId="8" xfId="9" applyFont="1" applyFill="1" applyBorder="1" applyAlignment="1">
      <alignment horizontal="center" vertical="center" wrapText="1"/>
    </xf>
    <xf numFmtId="0" fontId="69" fillId="9" borderId="5" xfId="9" applyFont="1" applyFill="1" applyBorder="1" applyAlignment="1">
      <alignment horizontal="center" vertical="center" wrapText="1"/>
    </xf>
    <xf numFmtId="0" fontId="69" fillId="8" borderId="6" xfId="9" applyFont="1" applyFill="1" applyBorder="1" applyAlignment="1">
      <alignment horizontal="center" vertical="center" wrapText="1"/>
    </xf>
    <xf numFmtId="0" fontId="69" fillId="9" borderId="6" xfId="9" applyFont="1" applyFill="1" applyBorder="1" applyAlignment="1">
      <alignment horizontal="center" vertical="center" wrapText="1"/>
    </xf>
    <xf numFmtId="0" fontId="41" fillId="0" borderId="1" xfId="9" applyFont="1" applyFill="1" applyBorder="1" applyAlignment="1">
      <alignment horizontal="center" vertical="center" wrapText="1"/>
    </xf>
    <xf numFmtId="0" fontId="69" fillId="0" borderId="1" xfId="9" applyFont="1" applyFill="1" applyBorder="1" applyAlignment="1">
      <alignment horizontal="center" vertical="center" wrapText="1"/>
    </xf>
    <xf numFmtId="164" fontId="69" fillId="0" borderId="1" xfId="9" applyNumberFormat="1" applyFont="1" applyFill="1" applyBorder="1" applyAlignment="1">
      <alignment horizontal="center" vertical="center"/>
    </xf>
    <xf numFmtId="0" fontId="75" fillId="0" borderId="3" xfId="9" applyFont="1" applyFill="1" applyBorder="1" applyAlignment="1">
      <alignment horizontal="center" vertical="center" wrapText="1"/>
    </xf>
    <xf numFmtId="0" fontId="69" fillId="4" borderId="1" xfId="9" applyFont="1" applyFill="1" applyBorder="1" applyAlignment="1">
      <alignment horizontal="center" vertical="center" wrapText="1"/>
    </xf>
    <xf numFmtId="0" fontId="7" fillId="0" borderId="15" xfId="9" applyFont="1" applyFill="1" applyBorder="1" applyAlignment="1">
      <alignment vertical="center" wrapText="1"/>
    </xf>
    <xf numFmtId="0" fontId="41" fillId="0" borderId="6" xfId="9" applyFont="1" applyFill="1" applyBorder="1" applyAlignment="1">
      <alignment horizontal="center" vertical="center" wrapText="1"/>
    </xf>
    <xf numFmtId="0" fontId="69" fillId="0" borderId="5" xfId="9" applyFont="1" applyFill="1" applyBorder="1" applyAlignment="1">
      <alignment horizontal="center" vertical="center" wrapText="1"/>
    </xf>
    <xf numFmtId="0" fontId="41" fillId="0" borderId="8" xfId="9" applyFont="1" applyFill="1" applyBorder="1" applyAlignment="1">
      <alignment horizontal="center" vertical="center"/>
    </xf>
    <xf numFmtId="0" fontId="41" fillId="0" borderId="6" xfId="9" applyFont="1" applyFill="1" applyBorder="1" applyAlignment="1">
      <alignment horizontal="center" vertical="center"/>
    </xf>
    <xf numFmtId="0" fontId="41" fillId="0" borderId="5" xfId="9" applyFont="1" applyFill="1" applyBorder="1" applyAlignment="1">
      <alignment horizontal="center" vertical="center"/>
    </xf>
    <xf numFmtId="0" fontId="17" fillId="0" borderId="0" xfId="9" applyFont="1"/>
    <xf numFmtId="164" fontId="18" fillId="0" borderId="0" xfId="9" applyNumberFormat="1" applyFont="1" applyAlignment="1"/>
    <xf numFmtId="164" fontId="72" fillId="0" borderId="0" xfId="9" applyNumberFormat="1" applyFont="1" applyAlignment="1"/>
    <xf numFmtId="49" fontId="29" fillId="0" borderId="20" xfId="9" applyNumberFormat="1" applyFont="1" applyBorder="1" applyAlignment="1">
      <alignment horizontal="center"/>
    </xf>
    <xf numFmtId="0" fontId="19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/>
    </xf>
    <xf numFmtId="0" fontId="27" fillId="0" borderId="0" xfId="9" applyFont="1" applyFill="1" applyBorder="1" applyAlignment="1">
      <alignment horizontal="left" vertical="center" wrapText="1"/>
    </xf>
    <xf numFmtId="0" fontId="36" fillId="0" borderId="0" xfId="9" applyFont="1" applyFill="1" applyBorder="1" applyAlignment="1">
      <alignment horizontal="left" vertical="center" wrapText="1"/>
    </xf>
    <xf numFmtId="0" fontId="39" fillId="0" borderId="0" xfId="9" applyFont="1" applyFill="1" applyBorder="1" applyAlignment="1">
      <alignment horizontal="center" vertical="center"/>
    </xf>
    <xf numFmtId="0" fontId="26" fillId="0" borderId="0" xfId="9" applyFont="1" applyFill="1" applyBorder="1" applyAlignment="1">
      <alignment vertical="center"/>
    </xf>
    <xf numFmtId="0" fontId="19" fillId="0" borderId="0" xfId="9" applyFont="1" applyFill="1" applyBorder="1" applyAlignment="1">
      <alignment horizontal="left" vertical="center"/>
    </xf>
    <xf numFmtId="0" fontId="18" fillId="0" borderId="0" xfId="9" applyFont="1" applyFill="1" applyBorder="1" applyAlignment="1">
      <alignment horizontal="left" vertical="center" wrapText="1"/>
    </xf>
    <xf numFmtId="0" fontId="38" fillId="0" borderId="0" xfId="9" applyFont="1" applyFill="1" applyBorder="1" applyAlignment="1">
      <alignment horizontal="center" vertical="center" wrapText="1"/>
    </xf>
  </cellXfs>
  <cellStyles count="11">
    <cellStyle name="Dziesiętny" xfId="5" builtinId="3"/>
    <cellStyle name="Dziesiętny 2" xfId="8"/>
    <cellStyle name="Normalny" xfId="0" builtinId="0"/>
    <cellStyle name="Normalny 2" xfId="1"/>
    <cellStyle name="Normalny 2 2" xfId="4"/>
    <cellStyle name="Normalny 2 2 2" xfId="7"/>
    <cellStyle name="Normalny 2 3" xfId="6"/>
    <cellStyle name="Normalny 2 4" xfId="10"/>
    <cellStyle name="Normalny 3" xfId="3"/>
    <cellStyle name="Normalny 4" xfId="2"/>
    <cellStyle name="Normalny 5" xfId="9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0</xdr:row>
      <xdr:rowOff>438150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47</xdr:row>
      <xdr:rowOff>419101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47626</xdr:rowOff>
    </xdr:from>
    <xdr:to>
      <xdr:col>30</xdr:col>
      <xdr:colOff>631031</xdr:colOff>
      <xdr:row>0</xdr:row>
      <xdr:rowOff>523876</xdr:rowOff>
    </xdr:to>
    <xdr:sp macro="" textlink="">
      <xdr:nvSpPr>
        <xdr:cNvPr id="3" name="pole tekstowe 2"/>
        <xdr:cNvSpPr txBox="1"/>
      </xdr:nvSpPr>
      <xdr:spPr>
        <a:xfrm>
          <a:off x="17073563" y="47626"/>
          <a:ext cx="22979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2019/2020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174238</xdr:colOff>
      <xdr:row>0</xdr:row>
      <xdr:rowOff>615640</xdr:rowOff>
    </xdr:from>
    <xdr:to>
      <xdr:col>29</xdr:col>
      <xdr:colOff>522714</xdr:colOff>
      <xdr:row>3</xdr:row>
      <xdr:rowOff>255548</xdr:rowOff>
    </xdr:to>
    <xdr:sp macro="" textlink="">
      <xdr:nvSpPr>
        <xdr:cNvPr id="2" name="pole tekstowe 1"/>
        <xdr:cNvSpPr txBox="1"/>
      </xdr:nvSpPr>
      <xdr:spPr>
        <a:xfrm>
          <a:off x="15425854" y="615640"/>
          <a:ext cx="3682226" cy="1184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Nauki i Szkolnictwa Wyższego z dnia 26 lipca 2019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65</xdr:row>
      <xdr:rowOff>205053</xdr:rowOff>
    </xdr:from>
    <xdr:ext cx="2000251" cy="1202531"/>
    <xdr:sp macro="" textlink="">
      <xdr:nvSpPr>
        <xdr:cNvPr id="6" name="pole tekstowe 5"/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311829</xdr:colOff>
      <xdr:row>0</xdr:row>
      <xdr:rowOff>36853</xdr:rowOff>
    </xdr:from>
    <xdr:to>
      <xdr:col>30</xdr:col>
      <xdr:colOff>577395</xdr:colOff>
      <xdr:row>0</xdr:row>
      <xdr:rowOff>513103</xdr:rowOff>
    </xdr:to>
    <xdr:sp macro="" textlink="">
      <xdr:nvSpPr>
        <xdr:cNvPr id="14" name="pole tekstowe 13"/>
        <xdr:cNvSpPr txBox="1"/>
      </xdr:nvSpPr>
      <xdr:spPr>
        <a:xfrm>
          <a:off x="15188972" y="36853"/>
          <a:ext cx="224994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2019/2020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90715</xdr:colOff>
      <xdr:row>1</xdr:row>
      <xdr:rowOff>22679</xdr:rowOff>
    </xdr:from>
    <xdr:to>
      <xdr:col>30</xdr:col>
      <xdr:colOff>578305</xdr:colOff>
      <xdr:row>3</xdr:row>
      <xdr:rowOff>156565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1" y="566965"/>
          <a:ext cx="3469822" cy="1120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54</xdr:row>
      <xdr:rowOff>0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/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2019/2020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431948</xdr:colOff>
      <xdr:row>1</xdr:row>
      <xdr:rowOff>1</xdr:rowOff>
    </xdr:from>
    <xdr:to>
      <xdr:col>31</xdr:col>
      <xdr:colOff>12425</xdr:colOff>
      <xdr:row>3</xdr:row>
      <xdr:rowOff>188284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5582" y="454100"/>
          <a:ext cx="3700593" cy="109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242887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51</xdr:row>
      <xdr:rowOff>166687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157162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/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2019/2020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25</xdr:col>
      <xdr:colOff>107159</xdr:colOff>
      <xdr:row>1</xdr:row>
      <xdr:rowOff>261937</xdr:rowOff>
    </xdr:from>
    <xdr:to>
      <xdr:col>31</xdr:col>
      <xdr:colOff>11908</xdr:colOff>
      <xdr:row>3</xdr:row>
      <xdr:rowOff>277629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1940" y="809625"/>
          <a:ext cx="3440906" cy="111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257175</xdr:colOff>
      <xdr:row>0</xdr:row>
      <xdr:rowOff>133350</xdr:rowOff>
    </xdr:from>
    <xdr:ext cx="863529" cy="78105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5497175" y="133350"/>
          <a:ext cx="86352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345281</xdr:colOff>
      <xdr:row>74</xdr:row>
      <xdr:rowOff>214314</xdr:rowOff>
    </xdr:from>
    <xdr:ext cx="2405062" cy="1190624"/>
    <xdr:sp macro="" textlink="">
      <xdr:nvSpPr>
        <xdr:cNvPr id="3" name="pole tekstowe 2"/>
        <xdr:cNvSpPr txBox="1"/>
      </xdr:nvSpPr>
      <xdr:spPr>
        <a:xfrm>
          <a:off x="345281" y="1428273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oneCellAnchor>
    <xdr:from>
      <xdr:col>24</xdr:col>
      <xdr:colOff>0</xdr:colOff>
      <xdr:row>0</xdr:row>
      <xdr:rowOff>133350</xdr:rowOff>
    </xdr:from>
    <xdr:ext cx="858767" cy="1578768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630400" y="133350"/>
          <a:ext cx="858767" cy="1578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257175</xdr:colOff>
      <xdr:row>0</xdr:row>
      <xdr:rowOff>133350</xdr:rowOff>
    </xdr:from>
    <xdr:ext cx="861147" cy="785813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4887575" y="133350"/>
          <a:ext cx="861147" cy="78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0</xdr:row>
      <xdr:rowOff>133350</xdr:rowOff>
    </xdr:from>
    <xdr:ext cx="863529" cy="1588293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4630400" y="133350"/>
          <a:ext cx="863529" cy="1588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0</xdr:row>
      <xdr:rowOff>133350</xdr:rowOff>
    </xdr:from>
    <xdr:ext cx="863529" cy="1373981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4630400" y="133350"/>
          <a:ext cx="863529" cy="1373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0</xdr:row>
      <xdr:rowOff>133350</xdr:rowOff>
    </xdr:from>
    <xdr:ext cx="875435" cy="785813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4630400" y="133350"/>
          <a:ext cx="875435" cy="78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0</xdr:colOff>
      <xdr:row>0</xdr:row>
      <xdr:rowOff>133350</xdr:rowOff>
    </xdr:from>
    <xdr:ext cx="875436" cy="785813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630400" y="133350"/>
          <a:ext cx="875436" cy="78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26</xdr:col>
      <xdr:colOff>257000</xdr:colOff>
      <xdr:row>0</xdr:row>
      <xdr:rowOff>178303</xdr:rowOff>
    </xdr:from>
    <xdr:to>
      <xdr:col>30</xdr:col>
      <xdr:colOff>360091</xdr:colOff>
      <xdr:row>1</xdr:row>
      <xdr:rowOff>116158</xdr:rowOff>
    </xdr:to>
    <xdr:sp macro="" textlink="">
      <xdr:nvSpPr>
        <xdr:cNvPr id="10" name="pole tekstowe 9"/>
        <xdr:cNvSpPr txBox="1"/>
      </xdr:nvSpPr>
      <xdr:spPr>
        <a:xfrm>
          <a:off x="16106600" y="178303"/>
          <a:ext cx="2541491" cy="128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2019/2020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25</xdr:col>
      <xdr:colOff>416718</xdr:colOff>
      <xdr:row>1</xdr:row>
      <xdr:rowOff>116159</xdr:rowOff>
    </xdr:from>
    <xdr:ext cx="2381250" cy="1144898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6718" y="306659"/>
          <a:ext cx="2381250" cy="114489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31</xdr:col>
      <xdr:colOff>84668</xdr:colOff>
      <xdr:row>1</xdr:row>
      <xdr:rowOff>285749</xdr:rowOff>
    </xdr:to>
    <xdr:sp macro="" textlink="">
      <xdr:nvSpPr>
        <xdr:cNvPr id="6" name="pole tekstowe 5"/>
        <xdr:cNvSpPr txBox="1"/>
      </xdr:nvSpPr>
      <xdr:spPr>
        <a:xfrm>
          <a:off x="13795376" y="195791"/>
          <a:ext cx="1973792" cy="418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2019/2020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26</xdr:row>
      <xdr:rowOff>42332</xdr:rowOff>
    </xdr:from>
    <xdr:ext cx="2000251" cy="1202531"/>
    <xdr:sp macro="" textlink="">
      <xdr:nvSpPr>
        <xdr:cNvPr id="11" name="pole tekstowe 10"/>
        <xdr:cNvSpPr txBox="1"/>
      </xdr:nvSpPr>
      <xdr:spPr>
        <a:xfrm>
          <a:off x="0" y="81068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232835</xdr:colOff>
      <xdr:row>1</xdr:row>
      <xdr:rowOff>281282</xdr:rowOff>
    </xdr:from>
    <xdr:to>
      <xdr:col>31</xdr:col>
      <xdr:colOff>21168</xdr:colOff>
      <xdr:row>4</xdr:row>
      <xdr:rowOff>31749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2" y="609365"/>
          <a:ext cx="3386666" cy="99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/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85725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114301</xdr:colOff>
      <xdr:row>0</xdr:row>
      <xdr:rowOff>514351</xdr:rowOff>
    </xdr:from>
    <xdr:to>
      <xdr:col>11</xdr:col>
      <xdr:colOff>76201</xdr:colOff>
      <xdr:row>1</xdr:row>
      <xdr:rowOff>66675</xdr:rowOff>
    </xdr:to>
    <xdr:sp macro="" textlink="">
      <xdr:nvSpPr>
        <xdr:cNvPr id="4" name="pole tekstowe 3"/>
        <xdr:cNvSpPr txBox="1"/>
      </xdr:nvSpPr>
      <xdr:spPr>
        <a:xfrm>
          <a:off x="7086601" y="514351"/>
          <a:ext cx="1943100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2019/2020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400050</xdr:colOff>
      <xdr:row>1</xdr:row>
      <xdr:rowOff>38100</xdr:rowOff>
    </xdr:from>
    <xdr:to>
      <xdr:col>10</xdr:col>
      <xdr:colOff>433916</xdr:colOff>
      <xdr:row>2</xdr:row>
      <xdr:rowOff>741128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885825"/>
          <a:ext cx="3386666" cy="10935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/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2019/2020</a:t>
          </a:r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/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/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pio/Desktop/Plany%20studi&#243;w%2021_22,%20Programy%20studi&#243;w/Plany%20studi&#243;w%20od%20roku%20ak.%202021-22/rok%20ak.%202023-24/Nab&#243;r%2019_20%20stacjonarne%20POP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Arkusz1"/>
      <sheetName val="KRAUM"/>
      <sheetName val="FAKULTETY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C37" t="str">
            <v>0912-7LEK-C5.3-G</v>
          </cell>
        </row>
        <row r="41">
          <cell r="C41" t="str">
            <v>0912-7LEK-C5.7-MR</v>
          </cell>
        </row>
        <row r="51">
          <cell r="C51" t="str">
            <v>0912-7LEK-C6.3-CD</v>
          </cell>
        </row>
        <row r="52">
          <cell r="C52" t="str">
            <v>0912-7LEK-C6.4-OiT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6"/>
  <sheetViews>
    <sheetView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sqref="A1:AE1"/>
    </sheetView>
  </sheetViews>
  <sheetFormatPr defaultRowHeight="15"/>
  <cols>
    <col min="1" max="1" width="5.42578125" style="23" customWidth="1"/>
    <col min="2" max="2" width="47.85546875" style="32" customWidth="1"/>
    <col min="3" max="3" width="23.85546875" style="53" customWidth="1"/>
    <col min="4" max="4" width="5.140625" style="10" customWidth="1"/>
    <col min="5" max="5" width="7.7109375" style="10" customWidth="1"/>
    <col min="6" max="6" width="7.28515625" style="10" customWidth="1"/>
    <col min="7" max="7" width="11.5703125" style="10" customWidth="1"/>
    <col min="8" max="24" width="7.5703125" style="10" customWidth="1"/>
    <col min="25" max="25" width="10.5703125" style="10" bestFit="1" customWidth="1"/>
    <col min="26" max="27" width="6.7109375" style="10" customWidth="1"/>
    <col min="28" max="28" width="11.42578125" style="10" customWidth="1"/>
    <col min="29" max="29" width="6.7109375" style="10" customWidth="1"/>
    <col min="30" max="30" width="9.5703125" style="10" customWidth="1"/>
    <col min="31" max="31" width="9.7109375" style="10" customWidth="1"/>
    <col min="32" max="16384" width="9.140625" style="10"/>
  </cols>
  <sheetData>
    <row r="1" spans="1:31" ht="50.25" customHeight="1">
      <c r="A1" s="510" t="s">
        <v>401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1" ht="35.25" customHeight="1">
      <c r="A2" s="524" t="s">
        <v>111</v>
      </c>
      <c r="B2" s="524"/>
      <c r="C2" s="49" t="s">
        <v>112</v>
      </c>
      <c r="E2" s="47"/>
      <c r="F2" s="47"/>
      <c r="G2" s="47"/>
      <c r="H2" s="526" t="s">
        <v>109</v>
      </c>
      <c r="I2" s="526"/>
      <c r="J2" s="526"/>
      <c r="K2" s="526"/>
      <c r="L2" s="526"/>
      <c r="M2" s="526"/>
      <c r="N2" s="526"/>
      <c r="O2" s="526"/>
      <c r="P2" s="52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35.25" customHeight="1">
      <c r="A3" s="525" t="s">
        <v>110</v>
      </c>
      <c r="B3" s="525"/>
      <c r="C3" s="5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6"/>
    </row>
    <row r="4" spans="1:31" ht="28.5" customHeight="1">
      <c r="A4" s="10"/>
      <c r="B4" s="478" t="s">
        <v>347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ht="14.25">
      <c r="A5" s="512"/>
      <c r="B5" s="513"/>
      <c r="C5" s="513"/>
      <c r="D5" s="513"/>
      <c r="E5" s="513"/>
      <c r="F5" s="514"/>
      <c r="G5" s="515" t="s">
        <v>3</v>
      </c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7"/>
    </row>
    <row r="6" spans="1:31" ht="15" customHeight="1">
      <c r="A6" s="495" t="s">
        <v>0</v>
      </c>
      <c r="B6" s="493" t="s">
        <v>4</v>
      </c>
      <c r="C6" s="493" t="s">
        <v>1</v>
      </c>
      <c r="D6" s="493" t="s">
        <v>8</v>
      </c>
      <c r="E6" s="493"/>
      <c r="F6" s="493"/>
      <c r="G6" s="506" t="s">
        <v>104</v>
      </c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499" t="s">
        <v>5</v>
      </c>
      <c r="Z6" s="499" t="s">
        <v>89</v>
      </c>
      <c r="AA6" s="499" t="s">
        <v>88</v>
      </c>
      <c r="AB6" s="499" t="s">
        <v>94</v>
      </c>
      <c r="AC6" s="499" t="s">
        <v>90</v>
      </c>
      <c r="AD6" s="499" t="s">
        <v>14</v>
      </c>
      <c r="AE6" s="519" t="s">
        <v>6</v>
      </c>
    </row>
    <row r="7" spans="1:31" ht="15" customHeight="1">
      <c r="A7" s="495"/>
      <c r="B7" s="493"/>
      <c r="C7" s="493"/>
      <c r="D7" s="493"/>
      <c r="E7" s="493"/>
      <c r="F7" s="493"/>
      <c r="G7" s="507" t="s">
        <v>10</v>
      </c>
      <c r="H7" s="508"/>
      <c r="I7" s="508"/>
      <c r="J7" s="508"/>
      <c r="K7" s="508"/>
      <c r="L7" s="508"/>
      <c r="M7" s="508"/>
      <c r="N7" s="508"/>
      <c r="O7" s="509"/>
      <c r="P7" s="502" t="s">
        <v>11</v>
      </c>
      <c r="Q7" s="518"/>
      <c r="R7" s="518"/>
      <c r="S7" s="518"/>
      <c r="T7" s="518"/>
      <c r="U7" s="518"/>
      <c r="V7" s="518"/>
      <c r="W7" s="518"/>
      <c r="X7" s="503"/>
      <c r="Y7" s="500"/>
      <c r="Z7" s="500"/>
      <c r="AA7" s="500"/>
      <c r="AB7" s="500"/>
      <c r="AC7" s="500"/>
      <c r="AD7" s="500"/>
      <c r="AE7" s="520"/>
    </row>
    <row r="8" spans="1:31" ht="14.25" customHeight="1">
      <c r="A8" s="496"/>
      <c r="B8" s="491"/>
      <c r="C8" s="491"/>
      <c r="D8" s="491" t="s">
        <v>2</v>
      </c>
      <c r="E8" s="491" t="s">
        <v>13</v>
      </c>
      <c r="F8" s="491" t="s">
        <v>12</v>
      </c>
      <c r="G8" s="507" t="s">
        <v>348</v>
      </c>
      <c r="H8" s="509"/>
      <c r="I8" s="507" t="s">
        <v>349</v>
      </c>
      <c r="J8" s="509"/>
      <c r="K8" s="507" t="s">
        <v>350</v>
      </c>
      <c r="L8" s="509"/>
      <c r="M8" s="507" t="s">
        <v>351</v>
      </c>
      <c r="N8" s="509"/>
      <c r="O8" s="522" t="s">
        <v>7</v>
      </c>
      <c r="P8" s="502" t="s">
        <v>348</v>
      </c>
      <c r="Q8" s="503"/>
      <c r="R8" s="502" t="s">
        <v>349</v>
      </c>
      <c r="S8" s="503"/>
      <c r="T8" s="502" t="s">
        <v>350</v>
      </c>
      <c r="U8" s="503"/>
      <c r="V8" s="502" t="s">
        <v>351</v>
      </c>
      <c r="W8" s="503"/>
      <c r="X8" s="504" t="s">
        <v>7</v>
      </c>
      <c r="Y8" s="500"/>
      <c r="Z8" s="500"/>
      <c r="AA8" s="500"/>
      <c r="AB8" s="500"/>
      <c r="AC8" s="500"/>
      <c r="AD8" s="500"/>
      <c r="AE8" s="520"/>
    </row>
    <row r="9" spans="1:31" ht="41.25" customHeight="1" thickBot="1">
      <c r="A9" s="497"/>
      <c r="B9" s="494"/>
      <c r="C9" s="494"/>
      <c r="D9" s="492"/>
      <c r="E9" s="492"/>
      <c r="F9" s="492"/>
      <c r="G9" s="304" t="s">
        <v>15</v>
      </c>
      <c r="H9" s="304" t="s">
        <v>16</v>
      </c>
      <c r="I9" s="304" t="s">
        <v>15</v>
      </c>
      <c r="J9" s="304" t="s">
        <v>16</v>
      </c>
      <c r="K9" s="304" t="s">
        <v>15</v>
      </c>
      <c r="L9" s="304" t="s">
        <v>16</v>
      </c>
      <c r="M9" s="304" t="s">
        <v>15</v>
      </c>
      <c r="N9" s="304" t="s">
        <v>16</v>
      </c>
      <c r="O9" s="523"/>
      <c r="P9" s="305" t="s">
        <v>15</v>
      </c>
      <c r="Q9" s="305" t="s">
        <v>16</v>
      </c>
      <c r="R9" s="305" t="s">
        <v>15</v>
      </c>
      <c r="S9" s="305" t="s">
        <v>16</v>
      </c>
      <c r="T9" s="305" t="s">
        <v>15</v>
      </c>
      <c r="U9" s="305" t="s">
        <v>16</v>
      </c>
      <c r="V9" s="305" t="s">
        <v>15</v>
      </c>
      <c r="W9" s="305" t="s">
        <v>16</v>
      </c>
      <c r="X9" s="505"/>
      <c r="Y9" s="501"/>
      <c r="Z9" s="501"/>
      <c r="AA9" s="501"/>
      <c r="AB9" s="501"/>
      <c r="AC9" s="501"/>
      <c r="AD9" s="501"/>
      <c r="AE9" s="521"/>
    </row>
    <row r="10" spans="1:31" ht="23.25" customHeight="1">
      <c r="A10" s="306" t="s">
        <v>405</v>
      </c>
      <c r="B10" s="307"/>
      <c r="C10" s="308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11"/>
    </row>
    <row r="11" spans="1:31" ht="29.25" customHeight="1">
      <c r="A11" s="309">
        <v>1.1000000000000001</v>
      </c>
      <c r="B11" s="12" t="s">
        <v>18</v>
      </c>
      <c r="C11" s="310" t="str">
        <f>RAZEM!C6</f>
        <v>0912-7LEK-B1.1-A</v>
      </c>
      <c r="D11" s="311">
        <v>2</v>
      </c>
      <c r="E11" s="312" t="s">
        <v>264</v>
      </c>
      <c r="F11" s="312"/>
      <c r="G11" s="55">
        <v>40</v>
      </c>
      <c r="H11" s="55">
        <v>35</v>
      </c>
      <c r="I11" s="55">
        <v>30</v>
      </c>
      <c r="J11" s="55">
        <v>50</v>
      </c>
      <c r="K11" s="55">
        <v>45</v>
      </c>
      <c r="L11" s="55"/>
      <c r="M11" s="55"/>
      <c r="N11" s="55"/>
      <c r="O11" s="313">
        <v>8</v>
      </c>
      <c r="P11" s="56">
        <v>35</v>
      </c>
      <c r="Q11" s="56">
        <v>40</v>
      </c>
      <c r="R11" s="56">
        <v>30</v>
      </c>
      <c r="S11" s="56">
        <v>75</v>
      </c>
      <c r="T11" s="56">
        <v>45</v>
      </c>
      <c r="U11" s="56"/>
      <c r="V11" s="56"/>
      <c r="W11" s="56"/>
      <c r="X11" s="56">
        <v>9</v>
      </c>
      <c r="Y11" s="43">
        <f>SUM(Z11:AC11)</f>
        <v>225</v>
      </c>
      <c r="Z11" s="43">
        <f>G11+P11</f>
        <v>75</v>
      </c>
      <c r="AA11" s="43">
        <f>I11+R11</f>
        <v>60</v>
      </c>
      <c r="AB11" s="43">
        <f>K11+T11</f>
        <v>90</v>
      </c>
      <c r="AC11" s="43">
        <f>M11+V11</f>
        <v>0</v>
      </c>
      <c r="AD11" s="43">
        <f>SUM(G11:N11,P11:W11)</f>
        <v>425</v>
      </c>
      <c r="AE11" s="13">
        <f>O11+X11</f>
        <v>17</v>
      </c>
    </row>
    <row r="12" spans="1:31" ht="29.25" customHeight="1">
      <c r="A12" s="309">
        <v>1.2</v>
      </c>
      <c r="B12" s="12" t="s">
        <v>20</v>
      </c>
      <c r="C12" s="310" t="str">
        <f>RAZEM!C7</f>
        <v>0912-7LEK-B1.2-H</v>
      </c>
      <c r="D12" s="311">
        <v>2</v>
      </c>
      <c r="E12" s="312" t="s">
        <v>264</v>
      </c>
      <c r="F12" s="312"/>
      <c r="G12" s="55">
        <v>25</v>
      </c>
      <c r="H12" s="55">
        <v>25</v>
      </c>
      <c r="I12" s="55">
        <v>20</v>
      </c>
      <c r="J12" s="55">
        <v>40</v>
      </c>
      <c r="K12" s="55">
        <v>15</v>
      </c>
      <c r="L12" s="55"/>
      <c r="M12" s="55"/>
      <c r="N12" s="55"/>
      <c r="O12" s="313">
        <v>5</v>
      </c>
      <c r="P12" s="56">
        <v>10</v>
      </c>
      <c r="Q12" s="56">
        <v>40</v>
      </c>
      <c r="R12" s="56">
        <v>15</v>
      </c>
      <c r="S12" s="56">
        <v>20</v>
      </c>
      <c r="T12" s="56">
        <v>15</v>
      </c>
      <c r="U12" s="56"/>
      <c r="V12" s="56"/>
      <c r="W12" s="56"/>
      <c r="X12" s="56">
        <v>4</v>
      </c>
      <c r="Y12" s="43">
        <f>SUM(Z12:AC12)</f>
        <v>100</v>
      </c>
      <c r="Z12" s="43">
        <f>G12+P12</f>
        <v>35</v>
      </c>
      <c r="AA12" s="43">
        <f>I12+R12</f>
        <v>35</v>
      </c>
      <c r="AB12" s="43">
        <f>K12+T12</f>
        <v>30</v>
      </c>
      <c r="AC12" s="43">
        <f>M12+V12</f>
        <v>0</v>
      </c>
      <c r="AD12" s="43">
        <f>SUM(G12:N12,P12:W12)</f>
        <v>225</v>
      </c>
      <c r="AE12" s="13">
        <f>O12+X12</f>
        <v>9</v>
      </c>
    </row>
    <row r="13" spans="1:31">
      <c r="A13" s="486" t="s">
        <v>9</v>
      </c>
      <c r="B13" s="487"/>
      <c r="C13" s="487"/>
      <c r="D13" s="487"/>
      <c r="E13" s="487"/>
      <c r="F13" s="488"/>
      <c r="G13" s="314">
        <f t="shared" ref="G13:AE13" si="0">SUM(G11:G12)</f>
        <v>65</v>
      </c>
      <c r="H13" s="314">
        <f t="shared" si="0"/>
        <v>60</v>
      </c>
      <c r="I13" s="314">
        <f t="shared" si="0"/>
        <v>50</v>
      </c>
      <c r="J13" s="314">
        <f t="shared" si="0"/>
        <v>90</v>
      </c>
      <c r="K13" s="314">
        <f t="shared" si="0"/>
        <v>60</v>
      </c>
      <c r="L13" s="314">
        <f t="shared" si="0"/>
        <v>0</v>
      </c>
      <c r="M13" s="314">
        <f t="shared" si="0"/>
        <v>0</v>
      </c>
      <c r="N13" s="314">
        <f t="shared" si="0"/>
        <v>0</v>
      </c>
      <c r="O13" s="314">
        <f t="shared" si="0"/>
        <v>13</v>
      </c>
      <c r="P13" s="314">
        <f t="shared" si="0"/>
        <v>45</v>
      </c>
      <c r="Q13" s="314">
        <f t="shared" si="0"/>
        <v>80</v>
      </c>
      <c r="R13" s="314">
        <f t="shared" si="0"/>
        <v>45</v>
      </c>
      <c r="S13" s="314">
        <f t="shared" si="0"/>
        <v>95</v>
      </c>
      <c r="T13" s="314">
        <f t="shared" si="0"/>
        <v>60</v>
      </c>
      <c r="U13" s="314">
        <f t="shared" si="0"/>
        <v>0</v>
      </c>
      <c r="V13" s="314">
        <f t="shared" si="0"/>
        <v>0</v>
      </c>
      <c r="W13" s="314">
        <f t="shared" si="0"/>
        <v>0</v>
      </c>
      <c r="X13" s="314">
        <f t="shared" si="0"/>
        <v>13</v>
      </c>
      <c r="Y13" s="314">
        <f t="shared" si="0"/>
        <v>325</v>
      </c>
      <c r="Z13" s="314">
        <f t="shared" si="0"/>
        <v>110</v>
      </c>
      <c r="AA13" s="314">
        <f t="shared" si="0"/>
        <v>95</v>
      </c>
      <c r="AB13" s="314">
        <f t="shared" si="0"/>
        <v>120</v>
      </c>
      <c r="AC13" s="314">
        <f t="shared" si="0"/>
        <v>0</v>
      </c>
      <c r="AD13" s="314">
        <f t="shared" si="0"/>
        <v>650</v>
      </c>
      <c r="AE13" s="14">
        <f t="shared" si="0"/>
        <v>26</v>
      </c>
    </row>
    <row r="14" spans="1:31" ht="22.5" customHeight="1">
      <c r="A14" s="315" t="s">
        <v>406</v>
      </c>
      <c r="B14" s="316"/>
      <c r="C14" s="317"/>
      <c r="D14" s="316"/>
      <c r="E14" s="316"/>
      <c r="F14" s="316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15"/>
    </row>
    <row r="15" spans="1:31" ht="27" customHeight="1">
      <c r="A15" s="319">
        <v>2.2000000000000002</v>
      </c>
      <c r="B15" s="12" t="s">
        <v>338</v>
      </c>
      <c r="C15" s="310" t="str">
        <f>RAZEM!C11</f>
        <v>0912-7LEK-B2.2-PBK</v>
      </c>
      <c r="D15" s="311">
        <v>2</v>
      </c>
      <c r="E15" s="312">
        <v>2</v>
      </c>
      <c r="F15" s="312"/>
      <c r="G15" s="55"/>
      <c r="H15" s="55"/>
      <c r="I15" s="55"/>
      <c r="J15" s="55"/>
      <c r="K15" s="55"/>
      <c r="L15" s="55"/>
      <c r="M15" s="55"/>
      <c r="N15" s="55"/>
      <c r="O15" s="55"/>
      <c r="P15" s="56">
        <v>35</v>
      </c>
      <c r="Q15" s="56">
        <v>40</v>
      </c>
      <c r="R15" s="56">
        <v>10</v>
      </c>
      <c r="S15" s="56">
        <v>20</v>
      </c>
      <c r="T15" s="56"/>
      <c r="U15" s="56"/>
      <c r="V15" s="56">
        <v>20</v>
      </c>
      <c r="W15" s="56"/>
      <c r="X15" s="56">
        <v>5</v>
      </c>
      <c r="Y15" s="43">
        <f>SUM(Z15:AC15)</f>
        <v>65</v>
      </c>
      <c r="Z15" s="43">
        <f>G15+P15</f>
        <v>35</v>
      </c>
      <c r="AA15" s="43">
        <f>I15+R15</f>
        <v>10</v>
      </c>
      <c r="AB15" s="43">
        <f>K15+T15</f>
        <v>0</v>
      </c>
      <c r="AC15" s="43">
        <f>M15+V15</f>
        <v>20</v>
      </c>
      <c r="AD15" s="43">
        <f>SUM(G15:N15,P15:W15)</f>
        <v>125</v>
      </c>
      <c r="AE15" s="13">
        <f>O15+X15</f>
        <v>5</v>
      </c>
    </row>
    <row r="16" spans="1:31" ht="29.25" customHeight="1">
      <c r="A16" s="319">
        <v>2.2999999999999998</v>
      </c>
      <c r="B16" s="12" t="s">
        <v>37</v>
      </c>
      <c r="C16" s="310" t="str">
        <f>RAZEM!C12</f>
        <v>0912-7LEK-B2.3-C</v>
      </c>
      <c r="D16" s="311">
        <v>1</v>
      </c>
      <c r="E16" s="312">
        <v>1</v>
      </c>
      <c r="F16" s="312"/>
      <c r="G16" s="55">
        <v>25</v>
      </c>
      <c r="H16" s="55">
        <v>55</v>
      </c>
      <c r="I16" s="55"/>
      <c r="J16" s="55"/>
      <c r="K16" s="55"/>
      <c r="L16" s="55"/>
      <c r="M16" s="55">
        <v>20</v>
      </c>
      <c r="N16" s="55"/>
      <c r="O16" s="55">
        <v>4</v>
      </c>
      <c r="P16" s="56"/>
      <c r="Q16" s="56"/>
      <c r="R16" s="56"/>
      <c r="S16" s="56"/>
      <c r="T16" s="56"/>
      <c r="U16" s="56"/>
      <c r="V16" s="56"/>
      <c r="W16" s="56"/>
      <c r="X16" s="56"/>
      <c r="Y16" s="43">
        <f>SUM(Z16:AC16)</f>
        <v>45</v>
      </c>
      <c r="Z16" s="43">
        <f>G16+P16</f>
        <v>25</v>
      </c>
      <c r="AA16" s="43">
        <f>I16+R16</f>
        <v>0</v>
      </c>
      <c r="AB16" s="43">
        <f>K16+T16</f>
        <v>0</v>
      </c>
      <c r="AC16" s="43">
        <f>M16+V16</f>
        <v>20</v>
      </c>
      <c r="AD16" s="43">
        <f>SUM(G16:N16,P16:W16)</f>
        <v>100</v>
      </c>
      <c r="AE16" s="13">
        <f>O16+X16</f>
        <v>4</v>
      </c>
    </row>
    <row r="17" spans="1:31" ht="33.75" customHeight="1">
      <c r="A17" s="319">
        <v>2.6</v>
      </c>
      <c r="B17" s="12" t="s">
        <v>93</v>
      </c>
      <c r="C17" s="310" t="str">
        <f>' razem plan'!C15</f>
        <v>0912-7LEK-B2,6-BzI</v>
      </c>
      <c r="D17" s="311">
        <v>2</v>
      </c>
      <c r="E17" s="312" t="s">
        <v>264</v>
      </c>
      <c r="F17" s="312"/>
      <c r="G17" s="55">
        <v>20</v>
      </c>
      <c r="H17" s="55">
        <v>30</v>
      </c>
      <c r="I17" s="55">
        <v>20</v>
      </c>
      <c r="J17" s="55">
        <v>5</v>
      </c>
      <c r="K17" s="55"/>
      <c r="L17" s="55"/>
      <c r="M17" s="55"/>
      <c r="N17" s="55"/>
      <c r="O17" s="55">
        <v>3</v>
      </c>
      <c r="P17" s="56">
        <v>20</v>
      </c>
      <c r="Q17" s="56">
        <v>30</v>
      </c>
      <c r="R17" s="56">
        <v>15</v>
      </c>
      <c r="S17" s="56">
        <v>10</v>
      </c>
      <c r="T17" s="56"/>
      <c r="U17" s="56"/>
      <c r="V17" s="56"/>
      <c r="W17" s="56"/>
      <c r="X17" s="56">
        <v>3</v>
      </c>
      <c r="Y17" s="43">
        <f>SUM(Z17:AC17)</f>
        <v>75</v>
      </c>
      <c r="Z17" s="43">
        <f>G17+P17</f>
        <v>40</v>
      </c>
      <c r="AA17" s="43">
        <f>I17+R17</f>
        <v>35</v>
      </c>
      <c r="AB17" s="43">
        <f>K17+T17</f>
        <v>0</v>
      </c>
      <c r="AC17" s="43">
        <f>M17+V17</f>
        <v>0</v>
      </c>
      <c r="AD17" s="43">
        <f>SUM(G17:N17,P17:W17)</f>
        <v>150</v>
      </c>
      <c r="AE17" s="13">
        <f>O17+X17</f>
        <v>6</v>
      </c>
    </row>
    <row r="18" spans="1:31" ht="33.75" customHeight="1">
      <c r="A18" s="319">
        <v>2.7</v>
      </c>
      <c r="B18" s="12" t="s">
        <v>91</v>
      </c>
      <c r="C18" s="320" t="str">
        <f>"0912-7LEK-B"&amp;A18&amp;"-"&amp;UPPER(LEFT(B18,1))&amp;"P"</f>
        <v>0912-7LEK-B2,7-PP</v>
      </c>
      <c r="D18" s="311"/>
      <c r="E18" s="312" t="s">
        <v>264</v>
      </c>
      <c r="F18" s="312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6">
        <v>20</v>
      </c>
      <c r="S18" s="56">
        <v>35</v>
      </c>
      <c r="T18" s="56">
        <v>20</v>
      </c>
      <c r="U18" s="56"/>
      <c r="V18" s="56"/>
      <c r="W18" s="56"/>
      <c r="X18" s="56">
        <v>3</v>
      </c>
      <c r="Y18" s="43">
        <f>SUM(Z18:AC18)</f>
        <v>40</v>
      </c>
      <c r="Z18" s="43">
        <f>G18+P18</f>
        <v>0</v>
      </c>
      <c r="AA18" s="43">
        <f>I18+R18</f>
        <v>20</v>
      </c>
      <c r="AB18" s="43">
        <f>K18+T18</f>
        <v>20</v>
      </c>
      <c r="AC18" s="43">
        <f>M18+V18</f>
        <v>0</v>
      </c>
      <c r="AD18" s="43">
        <f>SUM(G18:N18,P18:W18)</f>
        <v>75</v>
      </c>
      <c r="AE18" s="13">
        <f>O18+X18</f>
        <v>3</v>
      </c>
    </row>
    <row r="19" spans="1:31" ht="15.75">
      <c r="A19" s="486" t="s">
        <v>9</v>
      </c>
      <c r="B19" s="487"/>
      <c r="C19" s="487"/>
      <c r="D19" s="487"/>
      <c r="E19" s="487"/>
      <c r="F19" s="488"/>
      <c r="G19" s="64">
        <f t="shared" ref="G19:AE19" si="1">SUM(G15:G18)</f>
        <v>45</v>
      </c>
      <c r="H19" s="64">
        <f t="shared" si="1"/>
        <v>85</v>
      </c>
      <c r="I19" s="64">
        <f t="shared" si="1"/>
        <v>20</v>
      </c>
      <c r="J19" s="64">
        <f t="shared" si="1"/>
        <v>5</v>
      </c>
      <c r="K19" s="64">
        <f t="shared" si="1"/>
        <v>0</v>
      </c>
      <c r="L19" s="64">
        <f t="shared" si="1"/>
        <v>0</v>
      </c>
      <c r="M19" s="64">
        <f t="shared" si="1"/>
        <v>20</v>
      </c>
      <c r="N19" s="64">
        <f t="shared" si="1"/>
        <v>0</v>
      </c>
      <c r="O19" s="64">
        <f t="shared" si="1"/>
        <v>7</v>
      </c>
      <c r="P19" s="64">
        <f t="shared" si="1"/>
        <v>55</v>
      </c>
      <c r="Q19" s="64">
        <f t="shared" si="1"/>
        <v>70</v>
      </c>
      <c r="R19" s="64">
        <f t="shared" si="1"/>
        <v>45</v>
      </c>
      <c r="S19" s="64">
        <f t="shared" si="1"/>
        <v>65</v>
      </c>
      <c r="T19" s="64">
        <f t="shared" si="1"/>
        <v>20</v>
      </c>
      <c r="U19" s="64">
        <f t="shared" si="1"/>
        <v>0</v>
      </c>
      <c r="V19" s="64">
        <f t="shared" si="1"/>
        <v>20</v>
      </c>
      <c r="W19" s="64">
        <f t="shared" si="1"/>
        <v>0</v>
      </c>
      <c r="X19" s="64">
        <f t="shared" si="1"/>
        <v>11</v>
      </c>
      <c r="Y19" s="64">
        <f t="shared" si="1"/>
        <v>225</v>
      </c>
      <c r="Z19" s="64">
        <f t="shared" si="1"/>
        <v>100</v>
      </c>
      <c r="AA19" s="64">
        <f t="shared" si="1"/>
        <v>65</v>
      </c>
      <c r="AB19" s="64">
        <f t="shared" si="1"/>
        <v>20</v>
      </c>
      <c r="AC19" s="64">
        <f t="shared" si="1"/>
        <v>40</v>
      </c>
      <c r="AD19" s="64">
        <f t="shared" si="1"/>
        <v>450</v>
      </c>
      <c r="AE19" s="16">
        <f t="shared" si="1"/>
        <v>18</v>
      </c>
    </row>
    <row r="20" spans="1:31" ht="19.5" customHeight="1">
      <c r="A20" s="315" t="s">
        <v>407</v>
      </c>
      <c r="B20" s="316"/>
      <c r="C20" s="317"/>
      <c r="D20" s="316"/>
      <c r="E20" s="316"/>
      <c r="F20" s="316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15"/>
    </row>
    <row r="21" spans="1:31" ht="30.75" customHeight="1">
      <c r="A21" s="54">
        <v>4.0999999999999996</v>
      </c>
      <c r="B21" s="12" t="s">
        <v>47</v>
      </c>
      <c r="C21" s="310" t="str">
        <f>RAZEM!C28</f>
        <v>0912-7LEK-B4.1-S</v>
      </c>
      <c r="D21" s="311"/>
      <c r="E21" s="312">
        <v>1</v>
      </c>
      <c r="F21" s="312"/>
      <c r="G21" s="55"/>
      <c r="H21" s="55"/>
      <c r="I21" s="55"/>
      <c r="J21" s="55"/>
      <c r="K21" s="55"/>
      <c r="L21" s="55"/>
      <c r="M21" s="55"/>
      <c r="N21" s="55"/>
      <c r="O21" s="55"/>
      <c r="P21" s="56">
        <v>15</v>
      </c>
      <c r="Q21" s="56">
        <v>10</v>
      </c>
      <c r="R21" s="56"/>
      <c r="S21" s="56"/>
      <c r="T21" s="56"/>
      <c r="U21" s="56"/>
      <c r="V21" s="56"/>
      <c r="W21" s="56"/>
      <c r="X21" s="56">
        <v>1</v>
      </c>
      <c r="Y21" s="43">
        <f t="shared" ref="Y21:Y26" si="2">SUM(Z21:AC21)</f>
        <v>15</v>
      </c>
      <c r="Z21" s="43">
        <f t="shared" ref="Z21:Z26" si="3">G21+P21</f>
        <v>15</v>
      </c>
      <c r="AA21" s="43">
        <f t="shared" ref="AA21:AA26" si="4">I21+R21</f>
        <v>0</v>
      </c>
      <c r="AB21" s="43">
        <f t="shared" ref="AB21:AB26" si="5">K21+T21</f>
        <v>0</v>
      </c>
      <c r="AC21" s="43">
        <f t="shared" ref="AC21:AC26" si="6">M21+V21</f>
        <v>0</v>
      </c>
      <c r="AD21" s="43">
        <f t="shared" ref="AD21:AD26" si="7">SUM(G21:N21,P21:W21)</f>
        <v>25</v>
      </c>
      <c r="AE21" s="13">
        <f t="shared" ref="AE21:AE26" si="8">O21+X21</f>
        <v>1</v>
      </c>
    </row>
    <row r="22" spans="1:31" ht="24.75" customHeight="1">
      <c r="A22" s="309">
        <v>4.2</v>
      </c>
      <c r="B22" s="12" t="s">
        <v>48</v>
      </c>
      <c r="C22" s="310" t="str">
        <f>RAZEM!C29</f>
        <v>0912-7LEK-B4.2-P</v>
      </c>
      <c r="D22" s="311"/>
      <c r="E22" s="312">
        <v>2</v>
      </c>
      <c r="F22" s="312"/>
      <c r="G22" s="55">
        <v>15</v>
      </c>
      <c r="H22" s="55">
        <v>10</v>
      </c>
      <c r="I22" s="55"/>
      <c r="J22" s="55"/>
      <c r="K22" s="55"/>
      <c r="L22" s="55"/>
      <c r="M22" s="55"/>
      <c r="N22" s="55"/>
      <c r="O22" s="55">
        <v>1</v>
      </c>
      <c r="P22" s="56"/>
      <c r="Q22" s="56"/>
      <c r="R22" s="56"/>
      <c r="S22" s="56"/>
      <c r="T22" s="56"/>
      <c r="U22" s="56"/>
      <c r="V22" s="56"/>
      <c r="W22" s="56"/>
      <c r="X22" s="56"/>
      <c r="Y22" s="43">
        <f t="shared" si="2"/>
        <v>15</v>
      </c>
      <c r="Z22" s="43">
        <f t="shared" si="3"/>
        <v>15</v>
      </c>
      <c r="AA22" s="43">
        <f t="shared" si="4"/>
        <v>0</v>
      </c>
      <c r="AB22" s="43">
        <f t="shared" si="5"/>
        <v>0</v>
      </c>
      <c r="AC22" s="43">
        <f t="shared" si="6"/>
        <v>0</v>
      </c>
      <c r="AD22" s="43">
        <f t="shared" si="7"/>
        <v>25</v>
      </c>
      <c r="AE22" s="13">
        <f t="shared" si="8"/>
        <v>1</v>
      </c>
    </row>
    <row r="23" spans="1:31" ht="24.75" customHeight="1">
      <c r="A23" s="54">
        <v>4.3</v>
      </c>
      <c r="B23" s="12" t="s">
        <v>49</v>
      </c>
      <c r="C23" s="310" t="str">
        <f>RAZEM!C30</f>
        <v>0912-7LEK-B4.3-E</v>
      </c>
      <c r="D23" s="311"/>
      <c r="E23" s="312">
        <v>1</v>
      </c>
      <c r="F23" s="312"/>
      <c r="G23" s="55">
        <v>15</v>
      </c>
      <c r="H23" s="55">
        <v>10</v>
      </c>
      <c r="I23" s="55"/>
      <c r="J23" s="55"/>
      <c r="K23" s="55"/>
      <c r="L23" s="55"/>
      <c r="M23" s="55"/>
      <c r="N23" s="55"/>
      <c r="O23" s="55">
        <v>1</v>
      </c>
      <c r="P23" s="56"/>
      <c r="Q23" s="56"/>
      <c r="R23" s="56"/>
      <c r="S23" s="56"/>
      <c r="T23" s="56"/>
      <c r="U23" s="56"/>
      <c r="V23" s="56"/>
      <c r="W23" s="56"/>
      <c r="X23" s="56"/>
      <c r="Y23" s="43">
        <f t="shared" si="2"/>
        <v>15</v>
      </c>
      <c r="Z23" s="43">
        <f t="shared" si="3"/>
        <v>15</v>
      </c>
      <c r="AA23" s="43">
        <f t="shared" si="4"/>
        <v>0</v>
      </c>
      <c r="AB23" s="43">
        <f t="shared" si="5"/>
        <v>0</v>
      </c>
      <c r="AC23" s="43">
        <f t="shared" si="6"/>
        <v>0</v>
      </c>
      <c r="AD23" s="43">
        <f t="shared" si="7"/>
        <v>25</v>
      </c>
      <c r="AE23" s="13">
        <f t="shared" si="8"/>
        <v>1</v>
      </c>
    </row>
    <row r="24" spans="1:31" ht="24.75" customHeight="1">
      <c r="A24" s="309">
        <v>4.4000000000000004</v>
      </c>
      <c r="B24" s="12" t="s">
        <v>92</v>
      </c>
      <c r="C24" s="310" t="str">
        <f>RAZEM!C31</f>
        <v>0912-7LEK-B4.4-E</v>
      </c>
      <c r="D24" s="311"/>
      <c r="E24" s="312">
        <v>1</v>
      </c>
      <c r="F24" s="312"/>
      <c r="G24" s="55">
        <v>15</v>
      </c>
      <c r="H24" s="55">
        <v>10</v>
      </c>
      <c r="I24" s="55"/>
      <c r="J24" s="55"/>
      <c r="K24" s="55"/>
      <c r="L24" s="55"/>
      <c r="M24" s="55"/>
      <c r="N24" s="55"/>
      <c r="O24" s="55">
        <v>1</v>
      </c>
      <c r="P24" s="56"/>
      <c r="Q24" s="56"/>
      <c r="R24" s="56"/>
      <c r="S24" s="56"/>
      <c r="T24" s="56"/>
      <c r="U24" s="56"/>
      <c r="V24" s="56"/>
      <c r="W24" s="56"/>
      <c r="X24" s="56"/>
      <c r="Y24" s="43">
        <f t="shared" si="2"/>
        <v>15</v>
      </c>
      <c r="Z24" s="43">
        <f t="shared" si="3"/>
        <v>15</v>
      </c>
      <c r="AA24" s="43">
        <f t="shared" si="4"/>
        <v>0</v>
      </c>
      <c r="AB24" s="43">
        <f t="shared" si="5"/>
        <v>0</v>
      </c>
      <c r="AC24" s="43">
        <f t="shared" si="6"/>
        <v>0</v>
      </c>
      <c r="AD24" s="43">
        <f t="shared" si="7"/>
        <v>25</v>
      </c>
      <c r="AE24" s="13">
        <f t="shared" si="8"/>
        <v>1</v>
      </c>
    </row>
    <row r="25" spans="1:31" ht="24.75" customHeight="1">
      <c r="A25" s="309">
        <v>4.5</v>
      </c>
      <c r="B25" s="12" t="s">
        <v>50</v>
      </c>
      <c r="C25" s="310" t="str">
        <f>RAZEM!C32</f>
        <v>0912-7LEK-B4.5-H</v>
      </c>
      <c r="D25" s="311"/>
      <c r="E25" s="312">
        <v>1</v>
      </c>
      <c r="F25" s="312"/>
      <c r="G25" s="55">
        <v>30</v>
      </c>
      <c r="H25" s="55">
        <v>20</v>
      </c>
      <c r="I25" s="55"/>
      <c r="J25" s="55"/>
      <c r="K25" s="55"/>
      <c r="L25" s="55"/>
      <c r="M25" s="55"/>
      <c r="N25" s="55"/>
      <c r="O25" s="55">
        <v>2</v>
      </c>
      <c r="P25" s="56"/>
      <c r="Q25" s="56"/>
      <c r="R25" s="56"/>
      <c r="S25" s="56"/>
      <c r="T25" s="56"/>
      <c r="U25" s="56"/>
      <c r="V25" s="56"/>
      <c r="W25" s="56"/>
      <c r="X25" s="56"/>
      <c r="Y25" s="43">
        <f t="shared" si="2"/>
        <v>30</v>
      </c>
      <c r="Z25" s="43">
        <f t="shared" si="3"/>
        <v>30</v>
      </c>
      <c r="AA25" s="43">
        <f t="shared" si="4"/>
        <v>0</v>
      </c>
      <c r="AB25" s="43">
        <f t="shared" si="5"/>
        <v>0</v>
      </c>
      <c r="AC25" s="43">
        <f t="shared" si="6"/>
        <v>0</v>
      </c>
      <c r="AD25" s="43">
        <f t="shared" si="7"/>
        <v>50</v>
      </c>
      <c r="AE25" s="13">
        <f t="shared" si="8"/>
        <v>2</v>
      </c>
    </row>
    <row r="26" spans="1:31" ht="24" customHeight="1">
      <c r="A26" s="54">
        <v>4.5999999999999996</v>
      </c>
      <c r="B26" s="18" t="s">
        <v>17</v>
      </c>
      <c r="C26" s="310" t="s">
        <v>311</v>
      </c>
      <c r="D26" s="311">
        <v>4</v>
      </c>
      <c r="E26" s="321" t="s">
        <v>235</v>
      </c>
      <c r="F26" s="312"/>
      <c r="G26" s="55"/>
      <c r="H26" s="55"/>
      <c r="I26" s="55">
        <v>30</v>
      </c>
      <c r="J26" s="55">
        <v>15</v>
      </c>
      <c r="K26" s="55"/>
      <c r="L26" s="55"/>
      <c r="M26" s="55"/>
      <c r="N26" s="55"/>
      <c r="O26" s="55">
        <v>1.5</v>
      </c>
      <c r="P26" s="56"/>
      <c r="Q26" s="56"/>
      <c r="R26" s="56">
        <v>30</v>
      </c>
      <c r="S26" s="56">
        <v>15</v>
      </c>
      <c r="T26" s="56"/>
      <c r="U26" s="56"/>
      <c r="V26" s="56"/>
      <c r="W26" s="56"/>
      <c r="X26" s="56">
        <v>1.5</v>
      </c>
      <c r="Y26" s="43">
        <f t="shared" si="2"/>
        <v>60</v>
      </c>
      <c r="Z26" s="43">
        <f t="shared" si="3"/>
        <v>0</v>
      </c>
      <c r="AA26" s="43">
        <f t="shared" si="4"/>
        <v>60</v>
      </c>
      <c r="AB26" s="43">
        <f t="shared" si="5"/>
        <v>0</v>
      </c>
      <c r="AC26" s="43">
        <f t="shared" si="6"/>
        <v>0</v>
      </c>
      <c r="AD26" s="43">
        <f t="shared" si="7"/>
        <v>90</v>
      </c>
      <c r="AE26" s="13">
        <f t="shared" si="8"/>
        <v>3</v>
      </c>
    </row>
    <row r="27" spans="1:31" ht="15.75">
      <c r="A27" s="486" t="s">
        <v>9</v>
      </c>
      <c r="B27" s="487"/>
      <c r="C27" s="487"/>
      <c r="D27" s="487"/>
      <c r="E27" s="487"/>
      <c r="F27" s="488"/>
      <c r="G27" s="64">
        <f t="shared" ref="G27:AE27" si="9">SUM(G21:G26)</f>
        <v>75</v>
      </c>
      <c r="H27" s="64">
        <f t="shared" si="9"/>
        <v>50</v>
      </c>
      <c r="I27" s="64">
        <f t="shared" si="9"/>
        <v>30</v>
      </c>
      <c r="J27" s="64">
        <f t="shared" si="9"/>
        <v>15</v>
      </c>
      <c r="K27" s="64">
        <f t="shared" si="9"/>
        <v>0</v>
      </c>
      <c r="L27" s="64">
        <f t="shared" si="9"/>
        <v>0</v>
      </c>
      <c r="M27" s="64">
        <f t="shared" si="9"/>
        <v>0</v>
      </c>
      <c r="N27" s="64">
        <f t="shared" si="9"/>
        <v>0</v>
      </c>
      <c r="O27" s="64">
        <f t="shared" si="9"/>
        <v>6.5</v>
      </c>
      <c r="P27" s="64">
        <f t="shared" si="9"/>
        <v>15</v>
      </c>
      <c r="Q27" s="64">
        <f t="shared" si="9"/>
        <v>10</v>
      </c>
      <c r="R27" s="64">
        <f t="shared" si="9"/>
        <v>30</v>
      </c>
      <c r="S27" s="64">
        <f t="shared" si="9"/>
        <v>15</v>
      </c>
      <c r="T27" s="64">
        <f t="shared" si="9"/>
        <v>0</v>
      </c>
      <c r="U27" s="64">
        <f t="shared" si="9"/>
        <v>0</v>
      </c>
      <c r="V27" s="64">
        <f t="shared" si="9"/>
        <v>0</v>
      </c>
      <c r="W27" s="64">
        <f t="shared" si="9"/>
        <v>0</v>
      </c>
      <c r="X27" s="64">
        <f t="shared" si="9"/>
        <v>2.5</v>
      </c>
      <c r="Y27" s="64">
        <f t="shared" si="9"/>
        <v>150</v>
      </c>
      <c r="Z27" s="64">
        <f t="shared" si="9"/>
        <v>90</v>
      </c>
      <c r="AA27" s="64">
        <f t="shared" si="9"/>
        <v>60</v>
      </c>
      <c r="AB27" s="64">
        <f t="shared" si="9"/>
        <v>0</v>
      </c>
      <c r="AC27" s="64">
        <f t="shared" si="9"/>
        <v>0</v>
      </c>
      <c r="AD27" s="64">
        <f t="shared" si="9"/>
        <v>240</v>
      </c>
      <c r="AE27" s="16">
        <f t="shared" si="9"/>
        <v>9</v>
      </c>
    </row>
    <row r="28" spans="1:31" ht="20.25" customHeight="1">
      <c r="A28" s="315" t="s">
        <v>410</v>
      </c>
      <c r="B28" s="316"/>
      <c r="C28" s="317"/>
      <c r="D28" s="316"/>
      <c r="E28" s="316"/>
      <c r="F28" s="316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15"/>
    </row>
    <row r="29" spans="1:31" ht="28.5" customHeight="1">
      <c r="A29" s="54">
        <v>9.1</v>
      </c>
      <c r="B29" s="322" t="s">
        <v>83</v>
      </c>
      <c r="C29" s="310" t="str">
        <f>"0912-7LEK-C"&amp;A29&amp;"-"&amp;UPPER(LEFT(B29,1))</f>
        <v>0912-7LEK-C9,1-O</v>
      </c>
      <c r="D29" s="311"/>
      <c r="E29" s="312">
        <v>2</v>
      </c>
      <c r="F29" s="312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6"/>
      <c r="R29" s="56"/>
      <c r="S29" s="56"/>
      <c r="T29" s="56">
        <v>120</v>
      </c>
      <c r="U29" s="56"/>
      <c r="V29" s="56"/>
      <c r="W29" s="56"/>
      <c r="X29" s="56">
        <v>4</v>
      </c>
      <c r="Y29" s="43">
        <f>SUM(Z29:AC29)</f>
        <v>120</v>
      </c>
      <c r="Z29" s="43">
        <f>G29+P29</f>
        <v>0</v>
      </c>
      <c r="AA29" s="43">
        <f>I29+R29</f>
        <v>0</v>
      </c>
      <c r="AB29" s="43">
        <f>K29+T29</f>
        <v>120</v>
      </c>
      <c r="AC29" s="43">
        <f>M29+V29</f>
        <v>0</v>
      </c>
      <c r="AD29" s="43">
        <f>SUM(G29:N29,P29:W29)</f>
        <v>120</v>
      </c>
      <c r="AE29" s="13">
        <f>O29+X29</f>
        <v>4</v>
      </c>
    </row>
    <row r="30" spans="1:31" ht="15.75">
      <c r="A30" s="486" t="s">
        <v>9</v>
      </c>
      <c r="B30" s="487"/>
      <c r="C30" s="487"/>
      <c r="D30" s="487"/>
      <c r="E30" s="487"/>
      <c r="F30" s="488"/>
      <c r="G30" s="64">
        <f t="shared" ref="G30:X30" si="10">SUM(G29:G29)</f>
        <v>0</v>
      </c>
      <c r="H30" s="64">
        <f t="shared" si="10"/>
        <v>0</v>
      </c>
      <c r="I30" s="64">
        <f t="shared" si="10"/>
        <v>0</v>
      </c>
      <c r="J30" s="64">
        <f t="shared" si="10"/>
        <v>0</v>
      </c>
      <c r="K30" s="64">
        <f t="shared" si="10"/>
        <v>0</v>
      </c>
      <c r="L30" s="64">
        <f t="shared" si="10"/>
        <v>0</v>
      </c>
      <c r="M30" s="64">
        <f t="shared" si="10"/>
        <v>0</v>
      </c>
      <c r="N30" s="64">
        <f t="shared" si="10"/>
        <v>0</v>
      </c>
      <c r="O30" s="64">
        <f t="shared" si="10"/>
        <v>0</v>
      </c>
      <c r="P30" s="64">
        <f t="shared" si="10"/>
        <v>0</v>
      </c>
      <c r="Q30" s="64">
        <f t="shared" si="10"/>
        <v>0</v>
      </c>
      <c r="R30" s="64">
        <f t="shared" si="10"/>
        <v>0</v>
      </c>
      <c r="S30" s="64">
        <f t="shared" si="10"/>
        <v>0</v>
      </c>
      <c r="T30" s="64">
        <f t="shared" si="10"/>
        <v>120</v>
      </c>
      <c r="U30" s="64">
        <f t="shared" si="10"/>
        <v>0</v>
      </c>
      <c r="V30" s="64">
        <f t="shared" si="10"/>
        <v>0</v>
      </c>
      <c r="W30" s="64">
        <f t="shared" si="10"/>
        <v>0</v>
      </c>
      <c r="X30" s="64">
        <f t="shared" si="10"/>
        <v>4</v>
      </c>
      <c r="Y30" s="64">
        <f t="shared" ref="Y30:AE30" si="11">SUM(Y29)</f>
        <v>120</v>
      </c>
      <c r="Z30" s="64">
        <f t="shared" si="11"/>
        <v>0</v>
      </c>
      <c r="AA30" s="64">
        <f t="shared" si="11"/>
        <v>0</v>
      </c>
      <c r="AB30" s="64">
        <f t="shared" si="11"/>
        <v>120</v>
      </c>
      <c r="AC30" s="64">
        <f t="shared" si="11"/>
        <v>0</v>
      </c>
      <c r="AD30" s="64">
        <f t="shared" si="11"/>
        <v>120</v>
      </c>
      <c r="AE30" s="16">
        <f t="shared" si="11"/>
        <v>4</v>
      </c>
    </row>
    <row r="31" spans="1:31" ht="20.25" customHeight="1">
      <c r="A31" s="315" t="s">
        <v>408</v>
      </c>
      <c r="B31" s="316"/>
      <c r="C31" s="317"/>
      <c r="D31" s="316"/>
      <c r="E31" s="316"/>
      <c r="F31" s="316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15"/>
    </row>
    <row r="32" spans="1:31" ht="23.25" customHeight="1">
      <c r="A32" s="54">
        <v>10.199999999999999</v>
      </c>
      <c r="B32" s="18" t="s">
        <v>19</v>
      </c>
      <c r="C32" s="310" t="s">
        <v>312</v>
      </c>
      <c r="D32" s="312"/>
      <c r="E32" s="312">
        <v>1</v>
      </c>
      <c r="F32" s="312"/>
      <c r="G32" s="55"/>
      <c r="H32" s="55"/>
      <c r="I32" s="55">
        <v>30</v>
      </c>
      <c r="J32" s="55"/>
      <c r="K32" s="55"/>
      <c r="L32" s="55"/>
      <c r="M32" s="55"/>
      <c r="N32" s="55"/>
      <c r="O32" s="55">
        <v>1</v>
      </c>
      <c r="P32" s="56"/>
      <c r="Q32" s="56"/>
      <c r="R32" s="56"/>
      <c r="S32" s="56"/>
      <c r="T32" s="56"/>
      <c r="U32" s="56"/>
      <c r="V32" s="56"/>
      <c r="W32" s="56"/>
      <c r="X32" s="56"/>
      <c r="Y32" s="43">
        <f>SUM(Z32:AC32)</f>
        <v>30</v>
      </c>
      <c r="Z32" s="43">
        <f>G32+P32</f>
        <v>0</v>
      </c>
      <c r="AA32" s="43">
        <f>I32+R32</f>
        <v>30</v>
      </c>
      <c r="AB32" s="43">
        <f>K32+T32</f>
        <v>0</v>
      </c>
      <c r="AC32" s="43">
        <f>M32+V32</f>
        <v>0</v>
      </c>
      <c r="AD32" s="43">
        <f>SUM(G32:N32,P32:W32)</f>
        <v>30</v>
      </c>
      <c r="AE32" s="13">
        <f>O32+X32</f>
        <v>1</v>
      </c>
    </row>
    <row r="33" spans="1:34" ht="24" customHeight="1">
      <c r="A33" s="54">
        <v>10.3</v>
      </c>
      <c r="B33" s="18" t="s">
        <v>425</v>
      </c>
      <c r="C33" s="310" t="s">
        <v>426</v>
      </c>
      <c r="D33" s="312"/>
      <c r="E33" s="312"/>
      <c r="F33" s="312">
        <v>1</v>
      </c>
      <c r="G33" s="55"/>
      <c r="H33" s="55"/>
      <c r="I33" s="55">
        <v>2</v>
      </c>
      <c r="J33" s="55"/>
      <c r="K33" s="55"/>
      <c r="L33" s="55"/>
      <c r="M33" s="55"/>
      <c r="N33" s="55"/>
      <c r="O33" s="55">
        <v>0</v>
      </c>
      <c r="P33" s="56"/>
      <c r="Q33" s="56"/>
      <c r="R33" s="56"/>
      <c r="S33" s="56"/>
      <c r="T33" s="56"/>
      <c r="U33" s="56"/>
      <c r="V33" s="56"/>
      <c r="W33" s="56"/>
      <c r="X33" s="56"/>
      <c r="Y33" s="43">
        <f>SUM(Z33:AC33)</f>
        <v>2</v>
      </c>
      <c r="Z33" s="43">
        <f>SUM(G33,P33)</f>
        <v>0</v>
      </c>
      <c r="AA33" s="43">
        <f>SUM(I33,R33)</f>
        <v>2</v>
      </c>
      <c r="AB33" s="43">
        <f>SUM(K33,T33)</f>
        <v>0</v>
      </c>
      <c r="AC33" s="43">
        <f>SUM(M33,V33)</f>
        <v>0</v>
      </c>
      <c r="AD33" s="43">
        <f>SUM(G33:N33,P33:W33)</f>
        <v>2</v>
      </c>
      <c r="AE33" s="13">
        <f>SUM(O33,X33)</f>
        <v>0</v>
      </c>
    </row>
    <row r="34" spans="1:34" ht="24" customHeight="1">
      <c r="A34" s="54">
        <v>10.4</v>
      </c>
      <c r="B34" s="18" t="s">
        <v>30</v>
      </c>
      <c r="C34" s="310" t="s">
        <v>427</v>
      </c>
      <c r="D34" s="312"/>
      <c r="E34" s="312"/>
      <c r="F34" s="312">
        <v>1</v>
      </c>
      <c r="G34" s="55">
        <v>5</v>
      </c>
      <c r="H34" s="55"/>
      <c r="I34" s="55"/>
      <c r="J34" s="55"/>
      <c r="K34" s="55"/>
      <c r="L34" s="55"/>
      <c r="M34" s="55"/>
      <c r="N34" s="55"/>
      <c r="O34" s="55">
        <v>0</v>
      </c>
      <c r="P34" s="56"/>
      <c r="Q34" s="56"/>
      <c r="R34" s="56"/>
      <c r="S34" s="56"/>
      <c r="T34" s="56"/>
      <c r="U34" s="56"/>
      <c r="V34" s="56"/>
      <c r="W34" s="56"/>
      <c r="X34" s="56"/>
      <c r="Y34" s="43">
        <f>SUM(Z34:AC34)</f>
        <v>5</v>
      </c>
      <c r="Z34" s="43">
        <f>SUM(G34,P34)</f>
        <v>5</v>
      </c>
      <c r="AA34" s="43">
        <f>SUM(I34,R34)</f>
        <v>0</v>
      </c>
      <c r="AB34" s="43">
        <f>SUM(K34,T34)</f>
        <v>0</v>
      </c>
      <c r="AC34" s="43">
        <f>SUM(M34,V34)</f>
        <v>0</v>
      </c>
      <c r="AD34" s="43">
        <f>SUM(G34:N34,P34:W34)</f>
        <v>5</v>
      </c>
      <c r="AE34" s="13">
        <f>SUM(O34,X34)</f>
        <v>0</v>
      </c>
    </row>
    <row r="35" spans="1:34" ht="24" customHeight="1">
      <c r="A35" s="54">
        <v>10.5</v>
      </c>
      <c r="B35" s="18" t="s">
        <v>108</v>
      </c>
      <c r="C35" s="310" t="s">
        <v>428</v>
      </c>
      <c r="D35" s="312"/>
      <c r="E35" s="312"/>
      <c r="F35" s="323" t="s">
        <v>346</v>
      </c>
      <c r="G35" s="55"/>
      <c r="H35" s="55"/>
      <c r="I35" s="55">
        <v>30</v>
      </c>
      <c r="J35" s="55"/>
      <c r="K35" s="55">
        <v>0</v>
      </c>
      <c r="L35" s="55"/>
      <c r="M35" s="55"/>
      <c r="N35" s="55"/>
      <c r="O35" s="55">
        <v>0</v>
      </c>
      <c r="P35" s="56"/>
      <c r="Q35" s="56"/>
      <c r="R35" s="56">
        <v>30</v>
      </c>
      <c r="S35" s="56"/>
      <c r="T35" s="56"/>
      <c r="U35" s="56"/>
      <c r="V35" s="56"/>
      <c r="W35" s="56"/>
      <c r="X35" s="56">
        <v>0</v>
      </c>
      <c r="Y35" s="43">
        <f>SUM(Z35:AC35)</f>
        <v>60</v>
      </c>
      <c r="Z35" s="43">
        <f>SUM(G35,P35)</f>
        <v>0</v>
      </c>
      <c r="AA35" s="43">
        <f>SUM(I35,R35)</f>
        <v>60</v>
      </c>
      <c r="AB35" s="43">
        <f>SUM(K35,T35)</f>
        <v>0</v>
      </c>
      <c r="AC35" s="43">
        <f>SUM(M35,V35)</f>
        <v>0</v>
      </c>
      <c r="AD35" s="43">
        <f>SUM(G35:N35,P35:W35)</f>
        <v>60</v>
      </c>
      <c r="AE35" s="13">
        <f>SUM(O35,X35)</f>
        <v>0</v>
      </c>
    </row>
    <row r="36" spans="1:34" ht="15.75">
      <c r="A36" s="486" t="s">
        <v>9</v>
      </c>
      <c r="B36" s="487"/>
      <c r="C36" s="487"/>
      <c r="D36" s="487"/>
      <c r="E36" s="487"/>
      <c r="F36" s="488"/>
      <c r="G36" s="64">
        <f t="shared" ref="G36:AE36" si="12">SUM(G32:G35)</f>
        <v>5</v>
      </c>
      <c r="H36" s="64">
        <f t="shared" si="12"/>
        <v>0</v>
      </c>
      <c r="I36" s="64">
        <f t="shared" si="12"/>
        <v>62</v>
      </c>
      <c r="J36" s="64">
        <f t="shared" si="12"/>
        <v>0</v>
      </c>
      <c r="K36" s="64">
        <f t="shared" si="12"/>
        <v>0</v>
      </c>
      <c r="L36" s="64">
        <f t="shared" si="12"/>
        <v>0</v>
      </c>
      <c r="M36" s="64">
        <f t="shared" si="12"/>
        <v>0</v>
      </c>
      <c r="N36" s="64">
        <f t="shared" si="12"/>
        <v>0</v>
      </c>
      <c r="O36" s="64">
        <f t="shared" si="12"/>
        <v>1</v>
      </c>
      <c r="P36" s="64">
        <f t="shared" si="12"/>
        <v>0</v>
      </c>
      <c r="Q36" s="64">
        <f t="shared" si="12"/>
        <v>0</v>
      </c>
      <c r="R36" s="64">
        <f t="shared" si="12"/>
        <v>30</v>
      </c>
      <c r="S36" s="64">
        <f t="shared" si="12"/>
        <v>0</v>
      </c>
      <c r="T36" s="64">
        <f t="shared" si="12"/>
        <v>0</v>
      </c>
      <c r="U36" s="64">
        <f t="shared" si="12"/>
        <v>0</v>
      </c>
      <c r="V36" s="64">
        <f t="shared" si="12"/>
        <v>0</v>
      </c>
      <c r="W36" s="64">
        <f t="shared" si="12"/>
        <v>0</v>
      </c>
      <c r="X36" s="64">
        <f t="shared" si="12"/>
        <v>0</v>
      </c>
      <c r="Y36" s="64">
        <f t="shared" si="12"/>
        <v>97</v>
      </c>
      <c r="Z36" s="64">
        <f t="shared" si="12"/>
        <v>5</v>
      </c>
      <c r="AA36" s="64">
        <f t="shared" si="12"/>
        <v>92</v>
      </c>
      <c r="AB36" s="64">
        <f t="shared" si="12"/>
        <v>0</v>
      </c>
      <c r="AC36" s="64">
        <f t="shared" si="12"/>
        <v>0</v>
      </c>
      <c r="AD36" s="64">
        <f t="shared" si="12"/>
        <v>97</v>
      </c>
      <c r="AE36" s="16">
        <f t="shared" si="12"/>
        <v>1</v>
      </c>
    </row>
    <row r="37" spans="1:34" ht="22.5" customHeight="1">
      <c r="A37" s="315" t="s">
        <v>409</v>
      </c>
      <c r="B37" s="316"/>
      <c r="C37" s="317"/>
      <c r="D37" s="316"/>
      <c r="E37" s="316"/>
      <c r="F37" s="316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15"/>
    </row>
    <row r="38" spans="1:34" ht="23.25" customHeight="1">
      <c r="A38" s="324">
        <v>1</v>
      </c>
      <c r="B38" s="489" t="s">
        <v>116</v>
      </c>
      <c r="C38" s="490"/>
      <c r="D38" s="311"/>
      <c r="E38" s="312">
        <v>1</v>
      </c>
      <c r="F38" s="312"/>
      <c r="G38" s="55">
        <v>15</v>
      </c>
      <c r="H38" s="55">
        <v>10</v>
      </c>
      <c r="I38" s="55"/>
      <c r="J38" s="55"/>
      <c r="K38" s="55"/>
      <c r="L38" s="55"/>
      <c r="M38" s="55"/>
      <c r="N38" s="55"/>
      <c r="O38" s="55">
        <v>1</v>
      </c>
      <c r="P38" s="56"/>
      <c r="Q38" s="56"/>
      <c r="R38" s="56"/>
      <c r="S38" s="56"/>
      <c r="T38" s="56"/>
      <c r="U38" s="56"/>
      <c r="V38" s="56"/>
      <c r="W38" s="56"/>
      <c r="X38" s="56"/>
      <c r="Y38" s="43">
        <f>SUM(Z38:AC38)</f>
        <v>15</v>
      </c>
      <c r="Z38" s="43">
        <f>SUM(G38,P38)</f>
        <v>15</v>
      </c>
      <c r="AA38" s="43">
        <f>I38+R38</f>
        <v>0</v>
      </c>
      <c r="AB38" s="43">
        <f>K38+T38</f>
        <v>0</v>
      </c>
      <c r="AC38" s="43">
        <f>SUM(M38,V38)</f>
        <v>0</v>
      </c>
      <c r="AD38" s="43">
        <f>SUM(G38:N38,P38:W38)</f>
        <v>25</v>
      </c>
      <c r="AE38" s="13">
        <f>SUM(O38,X38)</f>
        <v>1</v>
      </c>
    </row>
    <row r="39" spans="1:34" ht="23.25" customHeight="1">
      <c r="A39" s="324">
        <v>2</v>
      </c>
      <c r="B39" s="489" t="s">
        <v>116</v>
      </c>
      <c r="C39" s="490"/>
      <c r="D39" s="311"/>
      <c r="E39" s="312">
        <v>2</v>
      </c>
      <c r="F39" s="312"/>
      <c r="G39" s="55"/>
      <c r="H39" s="55"/>
      <c r="I39" s="55"/>
      <c r="J39" s="55"/>
      <c r="K39" s="55"/>
      <c r="L39" s="55"/>
      <c r="M39" s="55"/>
      <c r="N39" s="325"/>
      <c r="O39" s="55"/>
      <c r="P39" s="56">
        <v>15</v>
      </c>
      <c r="Q39" s="56">
        <v>10</v>
      </c>
      <c r="R39" s="56"/>
      <c r="S39" s="56"/>
      <c r="T39" s="56"/>
      <c r="U39" s="56"/>
      <c r="V39" s="56"/>
      <c r="W39" s="56"/>
      <c r="X39" s="56">
        <v>1</v>
      </c>
      <c r="Y39" s="43">
        <f>SUM(Z39:AC39)</f>
        <v>15</v>
      </c>
      <c r="Z39" s="43">
        <f>SUM(G39,P39)</f>
        <v>15</v>
      </c>
      <c r="AA39" s="43">
        <f>I39+R39</f>
        <v>0</v>
      </c>
      <c r="AB39" s="43">
        <f>K39+T39</f>
        <v>0</v>
      </c>
      <c r="AC39" s="43">
        <f>SUM(M39,V39)</f>
        <v>0</v>
      </c>
      <c r="AD39" s="43">
        <f>SUM(G39:N39,P39:W39)</f>
        <v>25</v>
      </c>
      <c r="AE39" s="13">
        <f>SUM(O39,X39)</f>
        <v>1</v>
      </c>
    </row>
    <row r="40" spans="1:34" s="21" customFormat="1" ht="21.75" customHeight="1" thickBot="1">
      <c r="A40" s="483" t="s">
        <v>9</v>
      </c>
      <c r="B40" s="484"/>
      <c r="C40" s="484"/>
      <c r="D40" s="484"/>
      <c r="E40" s="484"/>
      <c r="F40" s="485"/>
      <c r="G40" s="326">
        <f t="shared" ref="G40:AE40" si="13">SUM(G38:G39)</f>
        <v>15</v>
      </c>
      <c r="H40" s="326">
        <f t="shared" si="13"/>
        <v>10</v>
      </c>
      <c r="I40" s="326">
        <f t="shared" si="13"/>
        <v>0</v>
      </c>
      <c r="J40" s="326">
        <f t="shared" si="13"/>
        <v>0</v>
      </c>
      <c r="K40" s="326">
        <f t="shared" si="13"/>
        <v>0</v>
      </c>
      <c r="L40" s="326">
        <f t="shared" si="13"/>
        <v>0</v>
      </c>
      <c r="M40" s="326">
        <f t="shared" si="13"/>
        <v>0</v>
      </c>
      <c r="N40" s="326">
        <f t="shared" si="13"/>
        <v>0</v>
      </c>
      <c r="O40" s="326">
        <f t="shared" si="13"/>
        <v>1</v>
      </c>
      <c r="P40" s="326">
        <f t="shared" si="13"/>
        <v>15</v>
      </c>
      <c r="Q40" s="326">
        <f t="shared" si="13"/>
        <v>10</v>
      </c>
      <c r="R40" s="326">
        <f t="shared" si="13"/>
        <v>0</v>
      </c>
      <c r="S40" s="326">
        <f t="shared" si="13"/>
        <v>0</v>
      </c>
      <c r="T40" s="326">
        <f t="shared" si="13"/>
        <v>0</v>
      </c>
      <c r="U40" s="326">
        <f t="shared" si="13"/>
        <v>0</v>
      </c>
      <c r="V40" s="326">
        <f t="shared" si="13"/>
        <v>0</v>
      </c>
      <c r="W40" s="326">
        <f t="shared" si="13"/>
        <v>0</v>
      </c>
      <c r="X40" s="326">
        <f t="shared" si="13"/>
        <v>1</v>
      </c>
      <c r="Y40" s="326">
        <f t="shared" si="13"/>
        <v>30</v>
      </c>
      <c r="Z40" s="326">
        <f t="shared" si="13"/>
        <v>30</v>
      </c>
      <c r="AA40" s="326">
        <f t="shared" si="13"/>
        <v>0</v>
      </c>
      <c r="AB40" s="326">
        <f t="shared" si="13"/>
        <v>0</v>
      </c>
      <c r="AC40" s="326">
        <f t="shared" si="13"/>
        <v>0</v>
      </c>
      <c r="AD40" s="326">
        <f t="shared" si="13"/>
        <v>50</v>
      </c>
      <c r="AE40" s="44">
        <f t="shared" si="13"/>
        <v>2</v>
      </c>
    </row>
    <row r="41" spans="1:34" ht="27" customHeight="1" thickBot="1">
      <c r="A41" s="480" t="s">
        <v>21</v>
      </c>
      <c r="B41" s="481"/>
      <c r="C41" s="481"/>
      <c r="D41" s="481"/>
      <c r="E41" s="481"/>
      <c r="F41" s="482"/>
      <c r="G41" s="327">
        <f t="shared" ref="G41:AE41" si="14">G13+G19+G27+G30+G36+G40</f>
        <v>205</v>
      </c>
      <c r="H41" s="327">
        <f t="shared" si="14"/>
        <v>205</v>
      </c>
      <c r="I41" s="327">
        <f t="shared" si="14"/>
        <v>162</v>
      </c>
      <c r="J41" s="327">
        <f t="shared" si="14"/>
        <v>110</v>
      </c>
      <c r="K41" s="327">
        <f t="shared" si="14"/>
        <v>60</v>
      </c>
      <c r="L41" s="327">
        <f t="shared" si="14"/>
        <v>0</v>
      </c>
      <c r="M41" s="327">
        <f t="shared" si="14"/>
        <v>20</v>
      </c>
      <c r="N41" s="327">
        <f t="shared" si="14"/>
        <v>0</v>
      </c>
      <c r="O41" s="327">
        <f t="shared" si="14"/>
        <v>28.5</v>
      </c>
      <c r="P41" s="327">
        <f t="shared" si="14"/>
        <v>130</v>
      </c>
      <c r="Q41" s="327">
        <f t="shared" si="14"/>
        <v>170</v>
      </c>
      <c r="R41" s="327">
        <f t="shared" si="14"/>
        <v>150</v>
      </c>
      <c r="S41" s="327">
        <f t="shared" si="14"/>
        <v>175</v>
      </c>
      <c r="T41" s="327">
        <f t="shared" si="14"/>
        <v>200</v>
      </c>
      <c r="U41" s="327">
        <f t="shared" si="14"/>
        <v>0</v>
      </c>
      <c r="V41" s="327">
        <f t="shared" si="14"/>
        <v>20</v>
      </c>
      <c r="W41" s="327">
        <f t="shared" si="14"/>
        <v>0</v>
      </c>
      <c r="X41" s="327">
        <f t="shared" si="14"/>
        <v>31.5</v>
      </c>
      <c r="Y41" s="327">
        <f t="shared" si="14"/>
        <v>947</v>
      </c>
      <c r="Z41" s="327">
        <f t="shared" si="14"/>
        <v>335</v>
      </c>
      <c r="AA41" s="327">
        <f t="shared" si="14"/>
        <v>312</v>
      </c>
      <c r="AB41" s="327">
        <f t="shared" si="14"/>
        <v>260</v>
      </c>
      <c r="AC41" s="327">
        <f t="shared" si="14"/>
        <v>40</v>
      </c>
      <c r="AD41" s="327">
        <f t="shared" si="14"/>
        <v>1607</v>
      </c>
      <c r="AE41" s="20">
        <f t="shared" si="14"/>
        <v>60</v>
      </c>
    </row>
    <row r="42" spans="1:34" ht="21" customHeight="1">
      <c r="A42" s="328"/>
      <c r="B42" s="329"/>
      <c r="C42" s="330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2"/>
      <c r="Y42" s="498"/>
      <c r="Z42" s="498"/>
      <c r="AA42" s="498"/>
      <c r="AB42" s="498"/>
      <c r="AC42" s="498"/>
      <c r="AD42" s="498"/>
      <c r="AE42" s="22"/>
      <c r="AF42" s="22"/>
      <c r="AG42" s="22"/>
      <c r="AH42" s="22"/>
    </row>
    <row r="43" spans="1:34" ht="30" customHeight="1">
      <c r="A43" s="333" t="s">
        <v>354</v>
      </c>
      <c r="B43" s="334"/>
      <c r="C43" s="330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5"/>
      <c r="Y43" s="498"/>
      <c r="Z43" s="498"/>
      <c r="AA43" s="498"/>
      <c r="AB43" s="498"/>
      <c r="AC43" s="498"/>
      <c r="AD43" s="498"/>
      <c r="AE43" s="22"/>
      <c r="AF43" s="22"/>
      <c r="AG43" s="22"/>
      <c r="AH43" s="22"/>
    </row>
    <row r="44" spans="1:34" ht="33.75" customHeight="1">
      <c r="A44" s="336">
        <v>1</v>
      </c>
      <c r="B44" s="48" t="s">
        <v>113</v>
      </c>
      <c r="C44" s="310" t="str">
        <f>"0912-7LEK-F-"&amp;A44&amp;"-"&amp;UPPER(LEFT(B44,1))&amp;"HKN"</f>
        <v>0912-7LEK-F-1-ZHKN</v>
      </c>
      <c r="D44" s="311"/>
      <c r="E44" s="312">
        <v>1</v>
      </c>
      <c r="F44" s="312"/>
      <c r="G44" s="55">
        <v>15</v>
      </c>
      <c r="H44" s="55">
        <v>10</v>
      </c>
      <c r="I44" s="55"/>
      <c r="J44" s="55"/>
      <c r="K44" s="55"/>
      <c r="L44" s="55"/>
      <c r="M44" s="55"/>
      <c r="N44" s="55"/>
      <c r="O44" s="55">
        <v>1</v>
      </c>
      <c r="P44" s="56"/>
      <c r="Q44" s="56"/>
      <c r="R44" s="56"/>
      <c r="S44" s="56"/>
      <c r="T44" s="56"/>
      <c r="U44" s="56"/>
      <c r="V44" s="56"/>
      <c r="W44" s="56"/>
      <c r="X44" s="56"/>
      <c r="Y44" s="43">
        <f>SUM(G44,I44,K44,M44,P44,R44,T44,V44)</f>
        <v>15</v>
      </c>
      <c r="Z44" s="43">
        <f>SUM(G44,P44)</f>
        <v>15</v>
      </c>
      <c r="AA44" s="43">
        <f>SUM(I44,R44)</f>
        <v>0</v>
      </c>
      <c r="AB44" s="43">
        <f>SUM(K44,T44)</f>
        <v>0</v>
      </c>
      <c r="AC44" s="43">
        <f>SUM(M44,V44)</f>
        <v>0</v>
      </c>
      <c r="AD44" s="43">
        <f>SUM(G44:N44,P44:W44)</f>
        <v>25</v>
      </c>
      <c r="AE44" s="13">
        <f>SUM(O44,X44)</f>
        <v>1</v>
      </c>
    </row>
    <row r="45" spans="1:34" ht="33.75" customHeight="1">
      <c r="A45" s="336">
        <v>2</v>
      </c>
      <c r="B45" s="48" t="s">
        <v>430</v>
      </c>
      <c r="C45" s="310" t="str">
        <f>"0912-7LEK-F-"&amp;A45&amp;"-"&amp;UPPER(LEFT(B45,1))&amp;"ST"</f>
        <v>0912-7LEK-F-2-NST</v>
      </c>
      <c r="D45" s="311"/>
      <c r="E45" s="312">
        <v>1</v>
      </c>
      <c r="F45" s="312"/>
      <c r="G45" s="55">
        <v>15</v>
      </c>
      <c r="H45" s="55">
        <v>10</v>
      </c>
      <c r="I45" s="55"/>
      <c r="J45" s="55"/>
      <c r="K45" s="55"/>
      <c r="L45" s="55"/>
      <c r="M45" s="55"/>
      <c r="N45" s="55"/>
      <c r="O45" s="55">
        <v>1</v>
      </c>
      <c r="P45" s="56"/>
      <c r="Q45" s="56"/>
      <c r="R45" s="56"/>
      <c r="S45" s="56"/>
      <c r="T45" s="56"/>
      <c r="U45" s="56"/>
      <c r="V45" s="56"/>
      <c r="W45" s="56"/>
      <c r="X45" s="56"/>
      <c r="Y45" s="43">
        <f>SUM(G45,I45,K45,M45,P45,R45,T45,V45)</f>
        <v>15</v>
      </c>
      <c r="Z45" s="43">
        <f>SUM(G45,P45)</f>
        <v>15</v>
      </c>
      <c r="AA45" s="43">
        <f>SUM(I45,R45)</f>
        <v>0</v>
      </c>
      <c r="AB45" s="43">
        <f>SUM(K45,T45)</f>
        <v>0</v>
      </c>
      <c r="AC45" s="43">
        <f>SUM(M45,V45)</f>
        <v>0</v>
      </c>
      <c r="AD45" s="43">
        <f>SUM(G45:N45,P45:W45)</f>
        <v>25</v>
      </c>
      <c r="AE45" s="13">
        <f>SUM(O45,X45)</f>
        <v>1</v>
      </c>
    </row>
    <row r="46" spans="1:34" ht="33.75" customHeight="1">
      <c r="A46" s="336">
        <v>3</v>
      </c>
      <c r="B46" s="48" t="s">
        <v>117</v>
      </c>
      <c r="C46" s="310" t="str">
        <f>"0912-7LEK-F-"&amp;A46&amp;"-"&amp;UPPER(LEFT(B46,1))&amp;"C"</f>
        <v>0912-7LEK-F-3-SC</v>
      </c>
      <c r="D46" s="311"/>
      <c r="E46" s="312">
        <v>2</v>
      </c>
      <c r="F46" s="312"/>
      <c r="G46" s="55"/>
      <c r="H46" s="55"/>
      <c r="I46" s="55"/>
      <c r="J46" s="55"/>
      <c r="K46" s="55"/>
      <c r="L46" s="55"/>
      <c r="M46" s="55"/>
      <c r="N46" s="55"/>
      <c r="O46" s="55"/>
      <c r="P46" s="56">
        <v>15</v>
      </c>
      <c r="Q46" s="56">
        <v>10</v>
      </c>
      <c r="R46" s="56"/>
      <c r="S46" s="56"/>
      <c r="T46" s="56"/>
      <c r="U46" s="56"/>
      <c r="V46" s="56"/>
      <c r="W46" s="56"/>
      <c r="X46" s="56">
        <v>1</v>
      </c>
      <c r="Y46" s="43">
        <f>SUM(G46,I46,K46,M46,P46,R46,T46,V46)</f>
        <v>15</v>
      </c>
      <c r="Z46" s="43">
        <f>SUM(G46,P46)</f>
        <v>15</v>
      </c>
      <c r="AA46" s="43">
        <f>SUM(I46,R46)</f>
        <v>0</v>
      </c>
      <c r="AB46" s="43">
        <f>SUM(K46,T46)</f>
        <v>0</v>
      </c>
      <c r="AC46" s="43">
        <f>SUM(M46,V46)</f>
        <v>0</v>
      </c>
      <c r="AD46" s="43">
        <f>SUM(G46:N46,P46:W46)</f>
        <v>25</v>
      </c>
      <c r="AE46" s="13">
        <f>SUM(O46,X46)</f>
        <v>1</v>
      </c>
    </row>
    <row r="47" spans="1:34" ht="48" customHeight="1">
      <c r="A47" s="336">
        <v>4</v>
      </c>
      <c r="B47" s="48" t="s">
        <v>429</v>
      </c>
      <c r="C47" s="310" t="str">
        <f>"0912-7LEK-F-"&amp;A47&amp;"-"&amp;UPPER(LEFT(B47,1))&amp;"SP"</f>
        <v>0912-7LEK-F-4-SSP</v>
      </c>
      <c r="D47" s="311"/>
      <c r="E47" s="312">
        <v>2</v>
      </c>
      <c r="F47" s="312"/>
      <c r="G47" s="55"/>
      <c r="H47" s="55"/>
      <c r="I47" s="55"/>
      <c r="J47" s="55"/>
      <c r="K47" s="55"/>
      <c r="L47" s="55"/>
      <c r="M47" s="55"/>
      <c r="N47" s="55"/>
      <c r="O47" s="55"/>
      <c r="P47" s="56">
        <v>15</v>
      </c>
      <c r="Q47" s="56">
        <v>10</v>
      </c>
      <c r="R47" s="56"/>
      <c r="S47" s="56"/>
      <c r="T47" s="56"/>
      <c r="U47" s="56"/>
      <c r="V47" s="56"/>
      <c r="W47" s="56"/>
      <c r="X47" s="56">
        <v>1</v>
      </c>
      <c r="Y47" s="43">
        <f>SUM(G47,I47,K47,M47,P47,R47,T47,V47)</f>
        <v>15</v>
      </c>
      <c r="Z47" s="43">
        <f>SUM(G47,P47)</f>
        <v>15</v>
      </c>
      <c r="AA47" s="43">
        <f>SUM(I47,R47)</f>
        <v>0</v>
      </c>
      <c r="AB47" s="43">
        <f>SUM(K47,T47)</f>
        <v>0</v>
      </c>
      <c r="AC47" s="43">
        <f>SUM(M47,V47)</f>
        <v>0</v>
      </c>
      <c r="AD47" s="43">
        <f>SUM(G47:N47,P47:W47)</f>
        <v>25</v>
      </c>
      <c r="AE47" s="13">
        <f>SUM(O47,X47)</f>
        <v>1</v>
      </c>
    </row>
    <row r="48" spans="1:34">
      <c r="A48" s="337"/>
      <c r="B48" s="334"/>
      <c r="C48" s="338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</row>
    <row r="49" spans="1:34" ht="20.25">
      <c r="A49" s="329"/>
      <c r="B49" s="329"/>
      <c r="C49" s="330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2"/>
      <c r="Y49" s="332"/>
      <c r="Z49" s="332"/>
      <c r="AA49" s="332"/>
      <c r="AB49" s="332"/>
      <c r="AC49" s="332"/>
      <c r="AD49" s="332"/>
    </row>
    <row r="50" spans="1:34" ht="21" customHeight="1">
      <c r="A50" s="329"/>
      <c r="B50" s="329"/>
      <c r="C50" s="330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 t="s">
        <v>123</v>
      </c>
      <c r="W50" s="331"/>
      <c r="X50" s="332"/>
      <c r="Y50" s="332"/>
      <c r="Z50" s="332"/>
      <c r="AA50" s="332"/>
      <c r="AB50" s="332"/>
      <c r="AC50" s="332"/>
      <c r="AD50" s="332"/>
    </row>
    <row r="51" spans="1:34" ht="20.25">
      <c r="A51" s="337"/>
      <c r="B51" s="339"/>
      <c r="C51" s="340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2"/>
      <c r="Y51" s="332"/>
      <c r="Z51" s="332"/>
      <c r="AA51" s="332"/>
      <c r="AB51" s="332"/>
      <c r="AC51" s="332"/>
      <c r="AD51" s="332"/>
    </row>
    <row r="52" spans="1:34" ht="21" customHeight="1">
      <c r="A52" s="341"/>
      <c r="B52" s="342"/>
      <c r="C52" s="343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5"/>
      <c r="V52" s="345"/>
      <c r="W52" s="345"/>
      <c r="X52" s="332"/>
      <c r="Y52" s="332"/>
      <c r="Z52" s="332"/>
      <c r="AA52" s="332"/>
      <c r="AB52" s="332"/>
      <c r="AC52" s="332"/>
      <c r="AD52" s="332"/>
    </row>
    <row r="53" spans="1:34" ht="21" customHeight="1">
      <c r="A53" s="341"/>
      <c r="B53" s="342"/>
      <c r="C53" s="343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45"/>
      <c r="W53" s="345"/>
      <c r="X53" s="332"/>
      <c r="Y53" s="332"/>
      <c r="Z53" s="332"/>
      <c r="AA53" s="332"/>
      <c r="AB53" s="332"/>
      <c r="AC53" s="332"/>
      <c r="AD53" s="332"/>
    </row>
    <row r="54" spans="1:34" ht="20.25">
      <c r="A54" s="341"/>
      <c r="B54" s="479" t="s">
        <v>355</v>
      </c>
      <c r="C54" s="479"/>
      <c r="D54" s="479"/>
      <c r="E54" s="479"/>
      <c r="F54" s="479"/>
      <c r="G54" s="479"/>
      <c r="H54" s="479"/>
      <c r="I54" s="479"/>
      <c r="J54" s="479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5"/>
      <c r="V54" s="345"/>
      <c r="W54" s="345"/>
      <c r="X54" s="332"/>
      <c r="Y54" s="332"/>
      <c r="Z54" s="332"/>
      <c r="AA54" s="332"/>
      <c r="AB54" s="332"/>
      <c r="AC54" s="332"/>
      <c r="AD54" s="332"/>
    </row>
    <row r="55" spans="1:34" ht="20.25">
      <c r="B55" s="299" t="s">
        <v>339</v>
      </c>
      <c r="C55" s="300"/>
      <c r="D55" s="301"/>
      <c r="E55" s="301"/>
      <c r="F55" s="301"/>
      <c r="G55" s="301"/>
      <c r="H55" s="301"/>
      <c r="I55" s="301"/>
      <c r="J55" s="301"/>
      <c r="K55" s="298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26"/>
      <c r="W55" s="26"/>
      <c r="X55" s="28"/>
    </row>
    <row r="56" spans="1:34" ht="20.25">
      <c r="A56" s="29"/>
      <c r="B56" s="299" t="s">
        <v>366</v>
      </c>
      <c r="C56" s="300"/>
      <c r="D56" s="301"/>
      <c r="E56" s="301"/>
      <c r="F56" s="301"/>
      <c r="G56" s="301"/>
      <c r="H56" s="301"/>
      <c r="I56" s="301"/>
      <c r="J56" s="301"/>
      <c r="K56" s="298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8"/>
    </row>
    <row r="57" spans="1:34" ht="20.25">
      <c r="A57" s="30"/>
      <c r="B57" s="301" t="s">
        <v>340</v>
      </c>
      <c r="C57" s="300"/>
      <c r="D57" s="301"/>
      <c r="E57" s="301"/>
      <c r="F57" s="301"/>
      <c r="G57" s="301"/>
      <c r="H57" s="301"/>
      <c r="I57" s="301"/>
      <c r="J57" s="301"/>
      <c r="K57" s="298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  <row r="58" spans="1:34" ht="20.25">
      <c r="A58" s="31"/>
      <c r="B58" s="301" t="s">
        <v>341</v>
      </c>
      <c r="C58" s="300"/>
      <c r="D58" s="302"/>
      <c r="E58" s="302"/>
      <c r="F58" s="301"/>
      <c r="G58" s="301"/>
      <c r="H58" s="301"/>
      <c r="I58" s="301"/>
      <c r="J58" s="301"/>
      <c r="K58" s="298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</row>
    <row r="59" spans="1:34" s="27" customFormat="1" ht="20.25">
      <c r="A59" s="31"/>
      <c r="B59" s="301" t="s">
        <v>342</v>
      </c>
      <c r="C59" s="300"/>
      <c r="D59" s="301"/>
      <c r="E59" s="301"/>
      <c r="F59" s="301"/>
      <c r="G59" s="301"/>
      <c r="H59" s="301"/>
      <c r="I59" s="301"/>
      <c r="J59" s="301"/>
      <c r="K59" s="298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20.25">
      <c r="A60" s="31"/>
      <c r="B60" s="467" t="s">
        <v>367</v>
      </c>
      <c r="C60" s="52"/>
      <c r="D60" s="25"/>
      <c r="E60" s="25"/>
      <c r="F60" s="25"/>
      <c r="G60" s="25"/>
      <c r="H60" s="25"/>
      <c r="I60" s="25"/>
      <c r="J60" s="25"/>
      <c r="K60" s="25"/>
      <c r="X60" s="26"/>
    </row>
    <row r="61" spans="1:34" ht="20.25">
      <c r="A61" s="31"/>
      <c r="B61" s="24"/>
      <c r="C61" s="51"/>
      <c r="D61" s="26"/>
      <c r="E61" s="24" t="s">
        <v>423</v>
      </c>
      <c r="F61" s="24"/>
      <c r="G61" s="24"/>
      <c r="H61" s="24"/>
      <c r="I61" s="24"/>
      <c r="J61" s="26"/>
      <c r="K61" s="26"/>
    </row>
    <row r="62" spans="1:34" ht="20.25">
      <c r="A62" s="31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34">
      <c r="A63" s="30"/>
    </row>
    <row r="64" spans="1:34">
      <c r="A64" s="29"/>
    </row>
    <row r="65" spans="1:8">
      <c r="A65" s="29"/>
    </row>
    <row r="66" spans="1:8">
      <c r="A66" s="33"/>
    </row>
    <row r="67" spans="1:8">
      <c r="A67" s="33"/>
    </row>
    <row r="68" spans="1:8">
      <c r="A68" s="33"/>
    </row>
    <row r="69" spans="1:8">
      <c r="A69" s="33"/>
    </row>
    <row r="70" spans="1:8">
      <c r="A70" s="33"/>
    </row>
    <row r="71" spans="1:8">
      <c r="A71" s="33"/>
    </row>
    <row r="72" spans="1:8">
      <c r="A72" s="33"/>
    </row>
    <row r="73" spans="1:8">
      <c r="A73" s="33"/>
    </row>
    <row r="74" spans="1:8">
      <c r="A74" s="33"/>
    </row>
    <row r="75" spans="1:8">
      <c r="A75" s="33"/>
    </row>
    <row r="76" spans="1:8">
      <c r="A76" s="33"/>
    </row>
    <row r="77" spans="1:8">
      <c r="A77" s="33"/>
    </row>
    <row r="78" spans="1:8">
      <c r="A78" s="34"/>
      <c r="B78" s="35"/>
    </row>
    <row r="79" spans="1:8">
      <c r="A79" s="34"/>
    </row>
    <row r="80" spans="1:8">
      <c r="A80" s="36"/>
      <c r="B80" s="35"/>
      <c r="H80" s="37"/>
    </row>
    <row r="81" spans="1:2">
      <c r="A81" s="36"/>
      <c r="B81" s="35"/>
    </row>
    <row r="82" spans="1:2">
      <c r="A82" s="36"/>
      <c r="B82" s="35"/>
    </row>
    <row r="83" spans="1:2">
      <c r="A83" s="36"/>
      <c r="B83" s="35"/>
    </row>
    <row r="84" spans="1:2">
      <c r="A84" s="36"/>
      <c r="B84" s="35"/>
    </row>
    <row r="85" spans="1:2">
      <c r="A85" s="36"/>
      <c r="B85" s="35"/>
    </row>
    <row r="86" spans="1:2">
      <c r="A86" s="36"/>
      <c r="B86" s="35"/>
    </row>
    <row r="87" spans="1:2">
      <c r="A87" s="36"/>
      <c r="B87" s="35"/>
    </row>
    <row r="88" spans="1:2">
      <c r="A88" s="36"/>
      <c r="B88" s="35"/>
    </row>
    <row r="89" spans="1:2">
      <c r="A89" s="36"/>
      <c r="B89" s="35"/>
    </row>
    <row r="90" spans="1:2">
      <c r="A90" s="36"/>
      <c r="B90" s="35"/>
    </row>
    <row r="91" spans="1:2">
      <c r="A91" s="36"/>
      <c r="B91" s="35"/>
    </row>
    <row r="92" spans="1:2">
      <c r="A92" s="36"/>
      <c r="B92" s="35"/>
    </row>
    <row r="93" spans="1:2">
      <c r="A93" s="36"/>
      <c r="B93" s="35"/>
    </row>
    <row r="94" spans="1:2">
      <c r="A94" s="36"/>
      <c r="B94" s="35"/>
    </row>
    <row r="95" spans="1:2">
      <c r="A95" s="36"/>
      <c r="B95" s="35"/>
    </row>
    <row r="96" spans="1:2">
      <c r="A96" s="36"/>
      <c r="B96" s="35"/>
    </row>
    <row r="97" spans="1:2">
      <c r="A97" s="36"/>
      <c r="B97" s="35"/>
    </row>
    <row r="98" spans="1:2">
      <c r="A98" s="36"/>
      <c r="B98" s="35"/>
    </row>
    <row r="99" spans="1:2">
      <c r="A99" s="36"/>
      <c r="B99" s="35"/>
    </row>
    <row r="100" spans="1:2">
      <c r="A100" s="36"/>
      <c r="B100" s="35"/>
    </row>
    <row r="101" spans="1:2">
      <c r="A101" s="36"/>
      <c r="B101" s="35"/>
    </row>
    <row r="102" spans="1:2">
      <c r="A102" s="36"/>
      <c r="B102" s="35"/>
    </row>
    <row r="103" spans="1:2">
      <c r="A103" s="36"/>
      <c r="B103" s="35"/>
    </row>
    <row r="104" spans="1:2">
      <c r="A104" s="36"/>
      <c r="B104" s="35"/>
    </row>
    <row r="105" spans="1:2">
      <c r="A105" s="36"/>
      <c r="B105" s="35"/>
    </row>
    <row r="106" spans="1:2">
      <c r="A106" s="36"/>
      <c r="B106" s="35"/>
    </row>
    <row r="107" spans="1:2">
      <c r="A107" s="36"/>
      <c r="B107" s="35"/>
    </row>
    <row r="108" spans="1:2">
      <c r="A108" s="36"/>
      <c r="B108" s="35"/>
    </row>
    <row r="109" spans="1:2">
      <c r="A109" s="36"/>
      <c r="B109" s="35"/>
    </row>
    <row r="110" spans="1:2">
      <c r="A110" s="36"/>
      <c r="B110" s="35"/>
    </row>
    <row r="111" spans="1:2">
      <c r="A111" s="36"/>
      <c r="B111" s="35"/>
    </row>
    <row r="112" spans="1:2">
      <c r="A112" s="36"/>
      <c r="B112" s="35"/>
    </row>
    <row r="113" spans="1:2">
      <c r="A113" s="36"/>
      <c r="B113" s="35"/>
    </row>
    <row r="114" spans="1:2">
      <c r="A114" s="36"/>
      <c r="B114" s="35"/>
    </row>
    <row r="115" spans="1:2">
      <c r="A115" s="36"/>
      <c r="B115" s="35"/>
    </row>
    <row r="116" spans="1:2">
      <c r="A116" s="36"/>
      <c r="B116" s="35"/>
    </row>
    <row r="117" spans="1:2">
      <c r="A117" s="36"/>
      <c r="B117" s="35"/>
    </row>
    <row r="118" spans="1:2">
      <c r="A118" s="36"/>
      <c r="B118" s="35"/>
    </row>
    <row r="119" spans="1:2">
      <c r="A119" s="36"/>
      <c r="B119" s="35"/>
    </row>
    <row r="120" spans="1:2">
      <c r="A120" s="36"/>
      <c r="B120" s="35"/>
    </row>
    <row r="121" spans="1:2">
      <c r="A121" s="36"/>
      <c r="B121" s="35"/>
    </row>
    <row r="122" spans="1:2">
      <c r="A122" s="36"/>
      <c r="B122" s="35"/>
    </row>
    <row r="123" spans="1:2">
      <c r="A123" s="36"/>
      <c r="B123" s="35"/>
    </row>
    <row r="124" spans="1:2">
      <c r="A124" s="36"/>
      <c r="B124" s="35"/>
    </row>
    <row r="125" spans="1:2">
      <c r="A125" s="36"/>
      <c r="B125" s="35"/>
    </row>
    <row r="126" spans="1:2">
      <c r="A126" s="36"/>
      <c r="B126" s="35"/>
    </row>
  </sheetData>
  <mergeCells count="46"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  <mergeCell ref="D8:D9"/>
    <mergeCell ref="A6:A9"/>
    <mergeCell ref="Y42:AD43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R3:AD3"/>
    <mergeCell ref="B4:T4"/>
    <mergeCell ref="B54:J54"/>
    <mergeCell ref="A41:F41"/>
    <mergeCell ref="A40:F40"/>
    <mergeCell ref="A36:F36"/>
    <mergeCell ref="A27:F27"/>
    <mergeCell ref="A30:F30"/>
    <mergeCell ref="B39:C39"/>
    <mergeCell ref="B38:C38"/>
    <mergeCell ref="F8:F9"/>
    <mergeCell ref="D6:F7"/>
    <mergeCell ref="B6:B9"/>
    <mergeCell ref="A19:F19"/>
    <mergeCell ref="A13:F13"/>
    <mergeCell ref="C6:C9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1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3"/>
  <sheetViews>
    <sheetView zoomScale="84" zoomScaleNormal="84" zoomScaleSheetLayoutView="80" workbookViewId="0">
      <pane ySplit="9" topLeftCell="A10" activePane="bottomLeft" state="frozen"/>
      <selection pane="bottomLeft" activeCell="B16" sqref="B16"/>
    </sheetView>
  </sheetViews>
  <sheetFormatPr defaultRowHeight="15"/>
  <cols>
    <col min="1" max="1" width="6" style="59" customWidth="1"/>
    <col min="2" max="2" width="47.85546875" customWidth="1"/>
    <col min="3" max="3" width="22.5703125" customWidth="1"/>
    <col min="4" max="4" width="6.5703125" customWidth="1"/>
    <col min="5" max="5" width="7.85546875" customWidth="1"/>
    <col min="6" max="7" width="6.5703125" customWidth="1"/>
    <col min="8" max="24" width="6.140625" customWidth="1"/>
    <col min="25" max="25" width="8.28515625" customWidth="1"/>
    <col min="26" max="29" width="6.7109375" customWidth="1"/>
    <col min="30" max="30" width="9.85546875" customWidth="1"/>
    <col min="31" max="31" width="9.140625" customWidth="1"/>
  </cols>
  <sheetData>
    <row r="1" spans="1:31" s="10" customFormat="1" ht="42.75" customHeight="1">
      <c r="A1" s="552" t="s">
        <v>401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</row>
    <row r="2" spans="1:31" s="10" customFormat="1" ht="42.75" customHeight="1">
      <c r="A2" s="534" t="s">
        <v>356</v>
      </c>
      <c r="B2" s="534"/>
      <c r="C2" s="346" t="s">
        <v>357</v>
      </c>
      <c r="D2" s="332"/>
      <c r="E2" s="347"/>
      <c r="F2" s="347"/>
      <c r="G2" s="347"/>
      <c r="H2" s="535" t="s">
        <v>119</v>
      </c>
      <c r="I2" s="535"/>
      <c r="J2" s="535"/>
      <c r="K2" s="535"/>
      <c r="L2" s="535"/>
      <c r="M2" s="535"/>
      <c r="N2" s="535"/>
      <c r="O2" s="535"/>
      <c r="P2" s="535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1" s="10" customFormat="1" ht="34.5" customHeight="1">
      <c r="A3" s="536" t="s">
        <v>358</v>
      </c>
      <c r="B3" s="536"/>
      <c r="C3" s="349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</row>
    <row r="4" spans="1:31" s="10" customFormat="1" ht="32.25" customHeight="1">
      <c r="A4" s="350"/>
      <c r="B4" s="351" t="s">
        <v>347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</row>
    <row r="5" spans="1:31" ht="20.25" customHeight="1">
      <c r="A5" s="554"/>
      <c r="B5" s="555"/>
      <c r="C5" s="555"/>
      <c r="D5" s="555"/>
      <c r="E5" s="555"/>
      <c r="F5" s="556"/>
      <c r="G5" s="557" t="s">
        <v>103</v>
      </c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9"/>
    </row>
    <row r="6" spans="1:31" ht="15" customHeight="1">
      <c r="A6" s="560" t="s">
        <v>0</v>
      </c>
      <c r="B6" s="493" t="s">
        <v>4</v>
      </c>
      <c r="C6" s="493" t="s">
        <v>1</v>
      </c>
      <c r="D6" s="562" t="s">
        <v>8</v>
      </c>
      <c r="E6" s="562"/>
      <c r="F6" s="562"/>
      <c r="G6" s="353"/>
      <c r="H6" s="353"/>
      <c r="I6" s="353"/>
      <c r="J6" s="353"/>
      <c r="K6" s="353"/>
      <c r="L6" s="353"/>
      <c r="M6" s="353"/>
      <c r="N6" s="353"/>
      <c r="O6" s="353" t="s">
        <v>118</v>
      </c>
      <c r="P6" s="353"/>
      <c r="Q6" s="353"/>
      <c r="R6" s="353"/>
      <c r="S6" s="353"/>
      <c r="T6" s="353"/>
      <c r="U6" s="353"/>
      <c r="V6" s="353"/>
      <c r="W6" s="353"/>
      <c r="X6" s="353"/>
      <c r="Y6" s="499" t="s">
        <v>5</v>
      </c>
      <c r="Z6" s="499" t="s">
        <v>89</v>
      </c>
      <c r="AA6" s="499" t="s">
        <v>88</v>
      </c>
      <c r="AB6" s="499" t="s">
        <v>94</v>
      </c>
      <c r="AC6" s="499" t="s">
        <v>90</v>
      </c>
      <c r="AD6" s="499" t="s">
        <v>14</v>
      </c>
      <c r="AE6" s="499" t="s">
        <v>6</v>
      </c>
    </row>
    <row r="7" spans="1:31" ht="15" customHeight="1">
      <c r="A7" s="560"/>
      <c r="B7" s="493"/>
      <c r="C7" s="493"/>
      <c r="D7" s="562"/>
      <c r="E7" s="562"/>
      <c r="F7" s="562"/>
      <c r="G7" s="507" t="s">
        <v>95</v>
      </c>
      <c r="H7" s="508"/>
      <c r="I7" s="508"/>
      <c r="J7" s="508"/>
      <c r="K7" s="508"/>
      <c r="L7" s="508"/>
      <c r="M7" s="508"/>
      <c r="N7" s="508"/>
      <c r="O7" s="509"/>
      <c r="P7" s="502" t="s">
        <v>96</v>
      </c>
      <c r="Q7" s="518"/>
      <c r="R7" s="518"/>
      <c r="S7" s="518"/>
      <c r="T7" s="518"/>
      <c r="U7" s="518"/>
      <c r="V7" s="518"/>
      <c r="W7" s="518"/>
      <c r="X7" s="503"/>
      <c r="Y7" s="500"/>
      <c r="Z7" s="500"/>
      <c r="AA7" s="500"/>
      <c r="AB7" s="500"/>
      <c r="AC7" s="500"/>
      <c r="AD7" s="500"/>
      <c r="AE7" s="500"/>
    </row>
    <row r="8" spans="1:31" ht="21.75" customHeight="1">
      <c r="A8" s="561"/>
      <c r="B8" s="491"/>
      <c r="C8" s="491"/>
      <c r="D8" s="491" t="s">
        <v>2</v>
      </c>
      <c r="E8" s="491" t="s">
        <v>13</v>
      </c>
      <c r="F8" s="491" t="s">
        <v>12</v>
      </c>
      <c r="G8" s="507" t="s">
        <v>348</v>
      </c>
      <c r="H8" s="509"/>
      <c r="I8" s="507" t="s">
        <v>349</v>
      </c>
      <c r="J8" s="509"/>
      <c r="K8" s="507" t="s">
        <v>350</v>
      </c>
      <c r="L8" s="509"/>
      <c r="M8" s="507" t="s">
        <v>351</v>
      </c>
      <c r="N8" s="509"/>
      <c r="O8" s="522" t="s">
        <v>7</v>
      </c>
      <c r="P8" s="502" t="s">
        <v>348</v>
      </c>
      <c r="Q8" s="503"/>
      <c r="R8" s="502" t="s">
        <v>349</v>
      </c>
      <c r="S8" s="503"/>
      <c r="T8" s="502" t="s">
        <v>350</v>
      </c>
      <c r="U8" s="503"/>
      <c r="V8" s="502" t="s">
        <v>351</v>
      </c>
      <c r="W8" s="503"/>
      <c r="X8" s="504" t="s">
        <v>7</v>
      </c>
      <c r="Y8" s="500"/>
      <c r="Z8" s="500"/>
      <c r="AA8" s="500"/>
      <c r="AB8" s="500"/>
      <c r="AC8" s="500"/>
      <c r="AD8" s="500"/>
      <c r="AE8" s="500"/>
    </row>
    <row r="9" spans="1:31" ht="45" customHeight="1">
      <c r="A9" s="560"/>
      <c r="B9" s="493"/>
      <c r="C9" s="493"/>
      <c r="D9" s="537"/>
      <c r="E9" s="537"/>
      <c r="F9" s="537"/>
      <c r="G9" s="354" t="s">
        <v>15</v>
      </c>
      <c r="H9" s="354" t="s">
        <v>16</v>
      </c>
      <c r="I9" s="354" t="s">
        <v>15</v>
      </c>
      <c r="J9" s="354" t="s">
        <v>16</v>
      </c>
      <c r="K9" s="354" t="s">
        <v>15</v>
      </c>
      <c r="L9" s="354" t="s">
        <v>16</v>
      </c>
      <c r="M9" s="354" t="s">
        <v>15</v>
      </c>
      <c r="N9" s="354" t="s">
        <v>16</v>
      </c>
      <c r="O9" s="551"/>
      <c r="P9" s="355" t="s">
        <v>15</v>
      </c>
      <c r="Q9" s="355" t="s">
        <v>16</v>
      </c>
      <c r="R9" s="355" t="s">
        <v>15</v>
      </c>
      <c r="S9" s="355" t="s">
        <v>16</v>
      </c>
      <c r="T9" s="355" t="s">
        <v>15</v>
      </c>
      <c r="U9" s="355" t="s">
        <v>16</v>
      </c>
      <c r="V9" s="355" t="s">
        <v>15</v>
      </c>
      <c r="W9" s="355" t="s">
        <v>16</v>
      </c>
      <c r="X9" s="563"/>
      <c r="Y9" s="538"/>
      <c r="Z9" s="538"/>
      <c r="AA9" s="538"/>
      <c r="AB9" s="538"/>
      <c r="AC9" s="538"/>
      <c r="AD9" s="538"/>
      <c r="AE9" s="538"/>
    </row>
    <row r="10" spans="1:31" ht="15.75">
      <c r="A10" s="315" t="s">
        <v>406</v>
      </c>
      <c r="B10" s="356"/>
      <c r="C10" s="357"/>
      <c r="D10" s="356"/>
      <c r="E10" s="356"/>
      <c r="F10" s="356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8"/>
    </row>
    <row r="11" spans="1:31" ht="21" customHeight="1">
      <c r="A11" s="359">
        <v>2.1</v>
      </c>
      <c r="B11" s="12" t="s">
        <v>35</v>
      </c>
      <c r="C11" s="310" t="str">
        <f>' razem plan'!C10</f>
        <v>0912-7LEK-B2.1-B</v>
      </c>
      <c r="D11" s="311">
        <v>3</v>
      </c>
      <c r="E11" s="312">
        <v>3</v>
      </c>
      <c r="F11" s="312"/>
      <c r="G11" s="55">
        <v>25</v>
      </c>
      <c r="H11" s="55">
        <v>25</v>
      </c>
      <c r="I11" s="55">
        <v>15</v>
      </c>
      <c r="J11" s="55">
        <v>20</v>
      </c>
      <c r="K11" s="55"/>
      <c r="L11" s="55"/>
      <c r="M11" s="55">
        <v>15</v>
      </c>
      <c r="N11" s="55"/>
      <c r="O11" s="55">
        <v>4</v>
      </c>
      <c r="P11" s="56"/>
      <c r="Q11" s="56"/>
      <c r="R11" s="56"/>
      <c r="S11" s="56"/>
      <c r="T11" s="56"/>
      <c r="U11" s="56"/>
      <c r="V11" s="56"/>
      <c r="W11" s="56"/>
      <c r="X11" s="56"/>
      <c r="Y11" s="43">
        <f>SUM(Z11:AC11)</f>
        <v>55</v>
      </c>
      <c r="Z11" s="43">
        <f>SUM(G11,P11)</f>
        <v>25</v>
      </c>
      <c r="AA11" s="43">
        <f>SUM(I11,R11)</f>
        <v>15</v>
      </c>
      <c r="AB11" s="43">
        <f>SUM(K11,T11)</f>
        <v>0</v>
      </c>
      <c r="AC11" s="43">
        <f>SUM(M11,V11)</f>
        <v>15</v>
      </c>
      <c r="AD11" s="43">
        <f>SUM(G11:N11,P11:W11)</f>
        <v>100</v>
      </c>
      <c r="AE11" s="43">
        <f>SUM(O11,X11)</f>
        <v>4</v>
      </c>
    </row>
    <row r="12" spans="1:31" ht="21.75" customHeight="1">
      <c r="A12" s="359">
        <v>2.4</v>
      </c>
      <c r="B12" s="360" t="s">
        <v>38</v>
      </c>
      <c r="C12" s="310" t="str">
        <f>RAZEM!C13</f>
        <v>0912-7LEK-B2.4-Bch</v>
      </c>
      <c r="D12" s="311">
        <v>3</v>
      </c>
      <c r="E12" s="312">
        <v>3</v>
      </c>
      <c r="F12" s="312"/>
      <c r="G12" s="55">
        <v>35</v>
      </c>
      <c r="H12" s="55">
        <v>70</v>
      </c>
      <c r="I12" s="55"/>
      <c r="J12" s="55"/>
      <c r="K12" s="55"/>
      <c r="L12" s="55"/>
      <c r="M12" s="55">
        <v>20</v>
      </c>
      <c r="N12" s="55"/>
      <c r="O12" s="55">
        <v>5</v>
      </c>
      <c r="P12" s="56"/>
      <c r="Q12" s="56"/>
      <c r="R12" s="56"/>
      <c r="S12" s="56"/>
      <c r="T12" s="56"/>
      <c r="U12" s="56"/>
      <c r="V12" s="56"/>
      <c r="W12" s="56"/>
      <c r="X12" s="56"/>
      <c r="Y12" s="43">
        <f t="shared" ref="Y12:Y13" si="0">SUM(Z12:AC12)</f>
        <v>55</v>
      </c>
      <c r="Z12" s="43">
        <f t="shared" ref="Z12:Z13" si="1">SUM(G12,P12)</f>
        <v>35</v>
      </c>
      <c r="AA12" s="43">
        <f t="shared" ref="AA12:AA13" si="2">SUM(I12,R12)</f>
        <v>0</v>
      </c>
      <c r="AB12" s="43">
        <f>SUM(K12,T12)</f>
        <v>0</v>
      </c>
      <c r="AC12" s="43">
        <f>SUM(M12,V12)</f>
        <v>20</v>
      </c>
      <c r="AD12" s="43">
        <f>SUM(G12:N12,P12:W12)</f>
        <v>125</v>
      </c>
      <c r="AE12" s="43">
        <f>SUM(O12,X12)</f>
        <v>5</v>
      </c>
    </row>
    <row r="13" spans="1:31" ht="24" customHeight="1">
      <c r="A13" s="359">
        <v>2.5</v>
      </c>
      <c r="B13" s="12" t="s">
        <v>39</v>
      </c>
      <c r="C13" s="310" t="str">
        <f>RAZEM!C14</f>
        <v>0912-7LEK-B2.5-FzC</v>
      </c>
      <c r="D13" s="311">
        <v>4</v>
      </c>
      <c r="E13" s="312" t="s">
        <v>263</v>
      </c>
      <c r="F13" s="312"/>
      <c r="G13" s="55">
        <v>30</v>
      </c>
      <c r="H13" s="55">
        <v>70</v>
      </c>
      <c r="I13" s="55">
        <v>25</v>
      </c>
      <c r="J13" s="55">
        <v>45</v>
      </c>
      <c r="K13" s="55"/>
      <c r="L13" s="55"/>
      <c r="M13" s="55">
        <v>30</v>
      </c>
      <c r="N13" s="55"/>
      <c r="O13" s="55">
        <v>8</v>
      </c>
      <c r="P13" s="56">
        <v>30</v>
      </c>
      <c r="Q13" s="56">
        <v>70</v>
      </c>
      <c r="R13" s="56">
        <v>25</v>
      </c>
      <c r="S13" s="56">
        <v>45</v>
      </c>
      <c r="T13" s="56"/>
      <c r="U13" s="56"/>
      <c r="V13" s="56">
        <v>30</v>
      </c>
      <c r="W13" s="56"/>
      <c r="X13" s="56">
        <v>8</v>
      </c>
      <c r="Y13" s="43">
        <f t="shared" si="0"/>
        <v>170</v>
      </c>
      <c r="Z13" s="43">
        <f t="shared" si="1"/>
        <v>60</v>
      </c>
      <c r="AA13" s="43">
        <f t="shared" si="2"/>
        <v>50</v>
      </c>
      <c r="AB13" s="43">
        <f>SUM(K13,T13)</f>
        <v>0</v>
      </c>
      <c r="AC13" s="43">
        <f>SUM(M13,V13)</f>
        <v>60</v>
      </c>
      <c r="AD13" s="43">
        <f>SUM(G13:N13,P13:W13)</f>
        <v>400</v>
      </c>
      <c r="AE13" s="43">
        <f>SUM(O13,X13)</f>
        <v>16</v>
      </c>
    </row>
    <row r="14" spans="1:31" ht="15.75">
      <c r="A14" s="486" t="s">
        <v>9</v>
      </c>
      <c r="B14" s="487"/>
      <c r="C14" s="487"/>
      <c r="D14" s="487"/>
      <c r="E14" s="487"/>
      <c r="F14" s="488"/>
      <c r="G14" s="64">
        <f t="shared" ref="G14:X14" si="3">SUM(G11:G13)</f>
        <v>90</v>
      </c>
      <c r="H14" s="64">
        <f t="shared" si="3"/>
        <v>165</v>
      </c>
      <c r="I14" s="64">
        <f t="shared" si="3"/>
        <v>40</v>
      </c>
      <c r="J14" s="64">
        <f t="shared" si="3"/>
        <v>65</v>
      </c>
      <c r="K14" s="64">
        <f t="shared" si="3"/>
        <v>0</v>
      </c>
      <c r="L14" s="64">
        <f t="shared" si="3"/>
        <v>0</v>
      </c>
      <c r="M14" s="64">
        <f t="shared" si="3"/>
        <v>65</v>
      </c>
      <c r="N14" s="64">
        <f t="shared" si="3"/>
        <v>0</v>
      </c>
      <c r="O14" s="64">
        <f t="shared" si="3"/>
        <v>17</v>
      </c>
      <c r="P14" s="64">
        <f t="shared" si="3"/>
        <v>30</v>
      </c>
      <c r="Q14" s="64">
        <f t="shared" si="3"/>
        <v>70</v>
      </c>
      <c r="R14" s="64">
        <f t="shared" si="3"/>
        <v>25</v>
      </c>
      <c r="S14" s="64">
        <f t="shared" si="3"/>
        <v>45</v>
      </c>
      <c r="T14" s="64">
        <f t="shared" si="3"/>
        <v>0</v>
      </c>
      <c r="U14" s="64">
        <f t="shared" si="3"/>
        <v>0</v>
      </c>
      <c r="V14" s="64">
        <f t="shared" si="3"/>
        <v>30</v>
      </c>
      <c r="W14" s="64">
        <f t="shared" si="3"/>
        <v>0</v>
      </c>
      <c r="X14" s="64">
        <f t="shared" si="3"/>
        <v>8</v>
      </c>
      <c r="Y14" s="64">
        <f t="shared" ref="Y14:AE14" si="4">SUM(Y11:Y13)</f>
        <v>280</v>
      </c>
      <c r="Z14" s="64">
        <f t="shared" si="4"/>
        <v>120</v>
      </c>
      <c r="AA14" s="64">
        <f t="shared" si="4"/>
        <v>65</v>
      </c>
      <c r="AB14" s="64">
        <f t="shared" si="4"/>
        <v>0</v>
      </c>
      <c r="AC14" s="64">
        <f t="shared" si="4"/>
        <v>95</v>
      </c>
      <c r="AD14" s="64">
        <f t="shared" si="4"/>
        <v>625</v>
      </c>
      <c r="AE14" s="64">
        <f t="shared" si="4"/>
        <v>25</v>
      </c>
    </row>
    <row r="15" spans="1:31" ht="15.75">
      <c r="A15" s="315" t="s">
        <v>417</v>
      </c>
      <c r="B15" s="316"/>
      <c r="C15" s="317"/>
      <c r="D15" s="361"/>
      <c r="E15" s="361"/>
      <c r="F15" s="361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62"/>
    </row>
    <row r="16" spans="1:31" ht="21.75" customHeight="1">
      <c r="A16" s="321">
        <v>3.1</v>
      </c>
      <c r="B16" s="12" t="s">
        <v>41</v>
      </c>
      <c r="C16" s="310" t="str">
        <f>RAZEM!C20</f>
        <v>0912-7LEK-C3.1-G</v>
      </c>
      <c r="D16" s="312">
        <v>3</v>
      </c>
      <c r="E16" s="312">
        <v>3</v>
      </c>
      <c r="F16" s="312"/>
      <c r="G16" s="55">
        <v>15</v>
      </c>
      <c r="H16" s="55">
        <v>10</v>
      </c>
      <c r="I16" s="55">
        <v>20</v>
      </c>
      <c r="J16" s="55">
        <v>5</v>
      </c>
      <c r="K16" s="55"/>
      <c r="L16" s="55"/>
      <c r="M16" s="55"/>
      <c r="N16" s="55"/>
      <c r="O16" s="55">
        <v>2</v>
      </c>
      <c r="P16" s="56"/>
      <c r="Q16" s="56"/>
      <c r="R16" s="56"/>
      <c r="S16" s="56"/>
      <c r="T16" s="56"/>
      <c r="U16" s="56"/>
      <c r="V16" s="56"/>
      <c r="W16" s="56"/>
      <c r="X16" s="56"/>
      <c r="Y16" s="43">
        <f>SUM(Z16:AC16)</f>
        <v>35</v>
      </c>
      <c r="Z16" s="43">
        <f>SUM(G16,P16)</f>
        <v>15</v>
      </c>
      <c r="AA16" s="43">
        <f>SUM(I16,R16)</f>
        <v>20</v>
      </c>
      <c r="AB16" s="43">
        <f>SUM(K16,T16)</f>
        <v>0</v>
      </c>
      <c r="AC16" s="43">
        <f>SUM(M16,V16)</f>
        <v>0</v>
      </c>
      <c r="AD16" s="43">
        <f>SUM(G16:N16,P16:W16)</f>
        <v>50</v>
      </c>
      <c r="AE16" s="43">
        <f>SUM(O16,X16)</f>
        <v>2</v>
      </c>
    </row>
    <row r="17" spans="1:31" ht="21.75" customHeight="1">
      <c r="A17" s="359">
        <v>3.2</v>
      </c>
      <c r="B17" s="12" t="s">
        <v>42</v>
      </c>
      <c r="C17" s="310" t="str">
        <f>RAZEM!C21</f>
        <v>0912-7LEK-C3.2-M</v>
      </c>
      <c r="D17" s="312">
        <v>4</v>
      </c>
      <c r="E17" s="312" t="s">
        <v>263</v>
      </c>
      <c r="F17" s="312"/>
      <c r="G17" s="55">
        <v>10</v>
      </c>
      <c r="H17" s="55">
        <v>15</v>
      </c>
      <c r="I17" s="55">
        <v>15</v>
      </c>
      <c r="J17" s="55">
        <v>25</v>
      </c>
      <c r="K17" s="55"/>
      <c r="L17" s="55"/>
      <c r="M17" s="55">
        <v>10</v>
      </c>
      <c r="N17" s="55"/>
      <c r="O17" s="55">
        <v>3</v>
      </c>
      <c r="P17" s="56">
        <v>10</v>
      </c>
      <c r="Q17" s="56">
        <v>15</v>
      </c>
      <c r="R17" s="56">
        <v>15</v>
      </c>
      <c r="S17" s="56">
        <v>20</v>
      </c>
      <c r="T17" s="56"/>
      <c r="U17" s="56"/>
      <c r="V17" s="56">
        <v>15</v>
      </c>
      <c r="W17" s="56"/>
      <c r="X17" s="56">
        <v>3</v>
      </c>
      <c r="Y17" s="43">
        <f t="shared" ref="Y17:Y20" si="5">SUM(Z17:AC17)</f>
        <v>75</v>
      </c>
      <c r="Z17" s="43">
        <f t="shared" ref="Z17:Z20" si="6">SUM(G17,P17)</f>
        <v>20</v>
      </c>
      <c r="AA17" s="43">
        <f t="shared" ref="AA17:AA20" si="7">SUM(I17,R17)</f>
        <v>30</v>
      </c>
      <c r="AB17" s="43">
        <f t="shared" ref="AB17:AB20" si="8">SUM(K17,T17)</f>
        <v>0</v>
      </c>
      <c r="AC17" s="43">
        <f t="shared" ref="AC17:AC20" si="9">SUM(M17,V17)</f>
        <v>25</v>
      </c>
      <c r="AD17" s="43">
        <f t="shared" ref="AD17:AD20" si="10">SUM(G17:N17,P17:W17)</f>
        <v>150</v>
      </c>
      <c r="AE17" s="43">
        <f>SUM(O17,X17)</f>
        <v>6</v>
      </c>
    </row>
    <row r="18" spans="1:31" ht="21.75" customHeight="1">
      <c r="A18" s="321">
        <v>3.3</v>
      </c>
      <c r="B18" s="12" t="s">
        <v>43</v>
      </c>
      <c r="C18" s="310" t="str">
        <f>RAZEM!C22</f>
        <v>0912-7LEK-C3.3-P</v>
      </c>
      <c r="D18" s="312">
        <v>4</v>
      </c>
      <c r="E18" s="312">
        <v>4</v>
      </c>
      <c r="F18" s="312"/>
      <c r="G18" s="55"/>
      <c r="H18" s="55"/>
      <c r="I18" s="55"/>
      <c r="J18" s="55"/>
      <c r="K18" s="55"/>
      <c r="L18" s="55"/>
      <c r="M18" s="55"/>
      <c r="N18" s="55"/>
      <c r="O18" s="55"/>
      <c r="P18" s="56">
        <v>15</v>
      </c>
      <c r="Q18" s="56">
        <v>10</v>
      </c>
      <c r="R18" s="56">
        <v>10</v>
      </c>
      <c r="S18" s="56">
        <v>5</v>
      </c>
      <c r="T18" s="56"/>
      <c r="U18" s="56"/>
      <c r="V18" s="56">
        <v>10</v>
      </c>
      <c r="W18" s="56"/>
      <c r="X18" s="56">
        <v>2</v>
      </c>
      <c r="Y18" s="43">
        <f t="shared" si="5"/>
        <v>35</v>
      </c>
      <c r="Z18" s="43">
        <f t="shared" si="6"/>
        <v>15</v>
      </c>
      <c r="AA18" s="43">
        <f t="shared" si="7"/>
        <v>10</v>
      </c>
      <c r="AB18" s="43">
        <f t="shared" si="8"/>
        <v>0</v>
      </c>
      <c r="AC18" s="43">
        <f t="shared" si="9"/>
        <v>10</v>
      </c>
      <c r="AD18" s="43">
        <f t="shared" si="10"/>
        <v>50</v>
      </c>
      <c r="AE18" s="43">
        <f>SUM(O18,X18)</f>
        <v>2</v>
      </c>
    </row>
    <row r="19" spans="1:31" ht="21.75" customHeight="1">
      <c r="A19" s="359">
        <v>3.4</v>
      </c>
      <c r="B19" s="12" t="s">
        <v>44</v>
      </c>
      <c r="C19" s="310" t="str">
        <f>RAZEM!C23</f>
        <v>0912-7LEK-C3.4-I</v>
      </c>
      <c r="D19" s="312">
        <v>4</v>
      </c>
      <c r="E19" s="312">
        <v>4</v>
      </c>
      <c r="F19" s="312"/>
      <c r="G19" s="55"/>
      <c r="H19" s="55"/>
      <c r="I19" s="55"/>
      <c r="J19" s="55"/>
      <c r="K19" s="55"/>
      <c r="L19" s="55"/>
      <c r="M19" s="55"/>
      <c r="N19" s="55"/>
      <c r="O19" s="55"/>
      <c r="P19" s="56">
        <v>15</v>
      </c>
      <c r="Q19" s="56">
        <v>10</v>
      </c>
      <c r="R19" s="56">
        <v>10</v>
      </c>
      <c r="S19" s="56">
        <v>25</v>
      </c>
      <c r="T19" s="56"/>
      <c r="U19" s="56"/>
      <c r="V19" s="56">
        <v>15</v>
      </c>
      <c r="W19" s="56"/>
      <c r="X19" s="56">
        <v>3</v>
      </c>
      <c r="Y19" s="43">
        <f t="shared" si="5"/>
        <v>40</v>
      </c>
      <c r="Z19" s="43">
        <f t="shared" si="6"/>
        <v>15</v>
      </c>
      <c r="AA19" s="43">
        <f t="shared" si="7"/>
        <v>10</v>
      </c>
      <c r="AB19" s="43">
        <f t="shared" si="8"/>
        <v>0</v>
      </c>
      <c r="AC19" s="43">
        <f t="shared" si="9"/>
        <v>15</v>
      </c>
      <c r="AD19" s="43">
        <f t="shared" si="10"/>
        <v>75</v>
      </c>
      <c r="AE19" s="43">
        <f>SUM(O19,X19)</f>
        <v>3</v>
      </c>
    </row>
    <row r="20" spans="1:31" ht="21.75" customHeight="1">
      <c r="A20" s="321" t="s">
        <v>333</v>
      </c>
      <c r="B20" s="40" t="s">
        <v>127</v>
      </c>
      <c r="C20" s="310" t="s">
        <v>334</v>
      </c>
      <c r="D20" s="312"/>
      <c r="E20" s="312">
        <v>4</v>
      </c>
      <c r="F20" s="312"/>
      <c r="G20" s="55"/>
      <c r="H20" s="55"/>
      <c r="I20" s="55"/>
      <c r="J20" s="55"/>
      <c r="K20" s="55"/>
      <c r="L20" s="55"/>
      <c r="M20" s="55"/>
      <c r="N20" s="55"/>
      <c r="O20" s="55"/>
      <c r="P20" s="56">
        <v>15</v>
      </c>
      <c r="Q20" s="56">
        <v>10</v>
      </c>
      <c r="R20" s="56"/>
      <c r="S20" s="56"/>
      <c r="T20" s="56"/>
      <c r="U20" s="56"/>
      <c r="V20" s="56"/>
      <c r="W20" s="56"/>
      <c r="X20" s="56">
        <v>1</v>
      </c>
      <c r="Y20" s="43">
        <f t="shared" si="5"/>
        <v>15</v>
      </c>
      <c r="Z20" s="43">
        <f t="shared" si="6"/>
        <v>15</v>
      </c>
      <c r="AA20" s="43">
        <f t="shared" si="7"/>
        <v>0</v>
      </c>
      <c r="AB20" s="43">
        <f t="shared" si="8"/>
        <v>0</v>
      </c>
      <c r="AC20" s="43">
        <f t="shared" si="9"/>
        <v>0</v>
      </c>
      <c r="AD20" s="43">
        <f t="shared" si="10"/>
        <v>25</v>
      </c>
      <c r="AE20" s="43">
        <v>1</v>
      </c>
    </row>
    <row r="21" spans="1:31" ht="15.75">
      <c r="A21" s="486" t="s">
        <v>9</v>
      </c>
      <c r="B21" s="487"/>
      <c r="C21" s="487"/>
      <c r="D21" s="487"/>
      <c r="E21" s="487"/>
      <c r="F21" s="488"/>
      <c r="G21" s="64">
        <f t="shared" ref="G21:AE21" si="11">SUM(G16:G20)</f>
        <v>25</v>
      </c>
      <c r="H21" s="64">
        <f t="shared" si="11"/>
        <v>25</v>
      </c>
      <c r="I21" s="64">
        <f t="shared" si="11"/>
        <v>35</v>
      </c>
      <c r="J21" s="64">
        <f t="shared" si="11"/>
        <v>30</v>
      </c>
      <c r="K21" s="64">
        <f t="shared" si="11"/>
        <v>0</v>
      </c>
      <c r="L21" s="64">
        <f t="shared" si="11"/>
        <v>0</v>
      </c>
      <c r="M21" s="64">
        <f t="shared" si="11"/>
        <v>10</v>
      </c>
      <c r="N21" s="64">
        <f t="shared" si="11"/>
        <v>0</v>
      </c>
      <c r="O21" s="64">
        <f t="shared" si="11"/>
        <v>5</v>
      </c>
      <c r="P21" s="64">
        <f t="shared" si="11"/>
        <v>55</v>
      </c>
      <c r="Q21" s="64">
        <f t="shared" si="11"/>
        <v>45</v>
      </c>
      <c r="R21" s="64">
        <f t="shared" si="11"/>
        <v>35</v>
      </c>
      <c r="S21" s="64">
        <f t="shared" si="11"/>
        <v>50</v>
      </c>
      <c r="T21" s="64">
        <f t="shared" si="11"/>
        <v>0</v>
      </c>
      <c r="U21" s="64">
        <f t="shared" si="11"/>
        <v>0</v>
      </c>
      <c r="V21" s="64">
        <f t="shared" si="11"/>
        <v>40</v>
      </c>
      <c r="W21" s="64">
        <f t="shared" si="11"/>
        <v>0</v>
      </c>
      <c r="X21" s="64">
        <f t="shared" si="11"/>
        <v>9</v>
      </c>
      <c r="Y21" s="64">
        <f t="shared" si="11"/>
        <v>200</v>
      </c>
      <c r="Z21" s="64">
        <f t="shared" si="11"/>
        <v>80</v>
      </c>
      <c r="AA21" s="64">
        <f t="shared" si="11"/>
        <v>70</v>
      </c>
      <c r="AB21" s="64">
        <f t="shared" si="11"/>
        <v>0</v>
      </c>
      <c r="AC21" s="64">
        <f t="shared" si="11"/>
        <v>50</v>
      </c>
      <c r="AD21" s="64">
        <f t="shared" si="11"/>
        <v>350</v>
      </c>
      <c r="AE21" s="64">
        <f t="shared" si="11"/>
        <v>14</v>
      </c>
    </row>
    <row r="22" spans="1:31" ht="15.75">
      <c r="A22" s="548" t="s">
        <v>407</v>
      </c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50"/>
    </row>
    <row r="23" spans="1:31" ht="23.25" customHeight="1">
      <c r="A23" s="363" t="s">
        <v>313</v>
      </c>
      <c r="B23" s="12" t="s">
        <v>17</v>
      </c>
      <c r="C23" s="310" t="s">
        <v>311</v>
      </c>
      <c r="D23" s="474">
        <v>4</v>
      </c>
      <c r="E23" s="474" t="s">
        <v>235</v>
      </c>
      <c r="F23" s="474"/>
      <c r="G23" s="55"/>
      <c r="H23" s="55"/>
      <c r="I23" s="55">
        <v>30</v>
      </c>
      <c r="J23" s="55">
        <v>15</v>
      </c>
      <c r="K23" s="55"/>
      <c r="L23" s="55"/>
      <c r="M23" s="55"/>
      <c r="N23" s="55"/>
      <c r="O23" s="55">
        <v>1.5</v>
      </c>
      <c r="P23" s="471"/>
      <c r="Q23" s="471"/>
      <c r="R23" s="471">
        <v>30</v>
      </c>
      <c r="S23" s="471">
        <v>15</v>
      </c>
      <c r="T23" s="471"/>
      <c r="U23" s="471"/>
      <c r="V23" s="471"/>
      <c r="W23" s="471"/>
      <c r="X23" s="471">
        <v>1.5</v>
      </c>
      <c r="Y23" s="474">
        <f>SUM(Z23:AC23)</f>
        <v>60</v>
      </c>
      <c r="Z23" s="474">
        <f>SUM(G23,P23)</f>
        <v>0</v>
      </c>
      <c r="AA23" s="474">
        <f>SUM(I23,R23)</f>
        <v>60</v>
      </c>
      <c r="AB23" s="474">
        <f>SUM(K23,T23)</f>
        <v>0</v>
      </c>
      <c r="AC23" s="474">
        <f>SUM(M23,V23)</f>
        <v>0</v>
      </c>
      <c r="AD23" s="474">
        <f>SUM(G23:N23,P23:W23)</f>
        <v>90</v>
      </c>
      <c r="AE23" s="474">
        <f>O23+X23</f>
        <v>3</v>
      </c>
    </row>
    <row r="24" spans="1:31" ht="29.25" customHeight="1">
      <c r="A24" s="364">
        <v>4.7</v>
      </c>
      <c r="B24" s="12" t="s">
        <v>314</v>
      </c>
      <c r="C24" s="310" t="s">
        <v>398</v>
      </c>
      <c r="D24" s="474"/>
      <c r="E24" s="474">
        <v>4</v>
      </c>
      <c r="F24" s="474"/>
      <c r="G24" s="55"/>
      <c r="H24" s="55"/>
      <c r="I24" s="55"/>
      <c r="J24" s="55"/>
      <c r="K24" s="55"/>
      <c r="L24" s="55"/>
      <c r="M24" s="55"/>
      <c r="N24" s="55"/>
      <c r="O24" s="55"/>
      <c r="P24" s="471">
        <v>20</v>
      </c>
      <c r="Q24" s="471">
        <v>5</v>
      </c>
      <c r="R24" s="471">
        <v>10</v>
      </c>
      <c r="S24" s="471">
        <v>15</v>
      </c>
      <c r="T24" s="471"/>
      <c r="U24" s="471"/>
      <c r="V24" s="471"/>
      <c r="W24" s="471"/>
      <c r="X24" s="471">
        <v>2</v>
      </c>
      <c r="Y24" s="474">
        <f>SUM(Z24:AC24)</f>
        <v>30</v>
      </c>
      <c r="Z24" s="474">
        <f>SUM(G24,P24)</f>
        <v>20</v>
      </c>
      <c r="AA24" s="474">
        <f>SUM(I24,R24)</f>
        <v>10</v>
      </c>
      <c r="AB24" s="474">
        <f>SUM(K24,T24)</f>
        <v>0</v>
      </c>
      <c r="AC24" s="474">
        <f>SUM(M24,V24)</f>
        <v>0</v>
      </c>
      <c r="AD24" s="474">
        <f>SUM(G24:N24,P24:W24)</f>
        <v>50</v>
      </c>
      <c r="AE24" s="474">
        <f>O24+X24</f>
        <v>2</v>
      </c>
    </row>
    <row r="25" spans="1:31" ht="15.75" customHeight="1">
      <c r="A25" s="545" t="s">
        <v>9</v>
      </c>
      <c r="B25" s="546"/>
      <c r="C25" s="546"/>
      <c r="D25" s="546"/>
      <c r="E25" s="546"/>
      <c r="F25" s="547"/>
      <c r="G25" s="365">
        <f t="shared" ref="G25:AE25" si="12">SUM(G23:G24)</f>
        <v>0</v>
      </c>
      <c r="H25" s="365">
        <f t="shared" si="12"/>
        <v>0</v>
      </c>
      <c r="I25" s="365">
        <f t="shared" si="12"/>
        <v>30</v>
      </c>
      <c r="J25" s="365">
        <f t="shared" si="12"/>
        <v>15</v>
      </c>
      <c r="K25" s="365">
        <f t="shared" si="12"/>
        <v>0</v>
      </c>
      <c r="L25" s="365">
        <f t="shared" si="12"/>
        <v>0</v>
      </c>
      <c r="M25" s="365">
        <f t="shared" si="12"/>
        <v>0</v>
      </c>
      <c r="N25" s="365">
        <f t="shared" si="12"/>
        <v>0</v>
      </c>
      <c r="O25" s="366">
        <f t="shared" si="12"/>
        <v>1.5</v>
      </c>
      <c r="P25" s="366">
        <f t="shared" si="12"/>
        <v>20</v>
      </c>
      <c r="Q25" s="366">
        <f t="shared" si="12"/>
        <v>5</v>
      </c>
      <c r="R25" s="366">
        <f t="shared" si="12"/>
        <v>40</v>
      </c>
      <c r="S25" s="366">
        <f t="shared" si="12"/>
        <v>30</v>
      </c>
      <c r="T25" s="366">
        <f t="shared" si="12"/>
        <v>0</v>
      </c>
      <c r="U25" s="366">
        <f t="shared" si="12"/>
        <v>0</v>
      </c>
      <c r="V25" s="366">
        <f t="shared" si="12"/>
        <v>0</v>
      </c>
      <c r="W25" s="366">
        <f t="shared" si="12"/>
        <v>0</v>
      </c>
      <c r="X25" s="366">
        <f t="shared" si="12"/>
        <v>3.5</v>
      </c>
      <c r="Y25" s="367">
        <f t="shared" si="12"/>
        <v>90</v>
      </c>
      <c r="Z25" s="367">
        <f t="shared" si="12"/>
        <v>20</v>
      </c>
      <c r="AA25" s="367">
        <f t="shared" si="12"/>
        <v>70</v>
      </c>
      <c r="AB25" s="367">
        <f t="shared" si="12"/>
        <v>0</v>
      </c>
      <c r="AC25" s="367">
        <f t="shared" si="12"/>
        <v>0</v>
      </c>
      <c r="AD25" s="367">
        <f t="shared" si="12"/>
        <v>140</v>
      </c>
      <c r="AE25" s="367">
        <f t="shared" si="12"/>
        <v>5</v>
      </c>
    </row>
    <row r="26" spans="1:31" ht="15.75">
      <c r="A26" s="315" t="s">
        <v>418</v>
      </c>
      <c r="B26" s="316"/>
      <c r="C26" s="317"/>
      <c r="D26" s="361"/>
      <c r="E26" s="361"/>
      <c r="F26" s="361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62"/>
    </row>
    <row r="27" spans="1:31" ht="22.5" customHeight="1">
      <c r="A27" s="58">
        <v>7.1</v>
      </c>
      <c r="B27" s="368" t="s">
        <v>75</v>
      </c>
      <c r="C27" s="369" t="str">
        <f>RAZEM!C64</f>
        <v>0912-7LEK-C7.1-H</v>
      </c>
      <c r="D27" s="312"/>
      <c r="E27" s="312">
        <v>3</v>
      </c>
      <c r="F27" s="312"/>
      <c r="G27" s="55">
        <v>15</v>
      </c>
      <c r="H27" s="55">
        <v>10</v>
      </c>
      <c r="I27" s="55"/>
      <c r="J27" s="55"/>
      <c r="K27" s="55"/>
      <c r="L27" s="55"/>
      <c r="M27" s="55"/>
      <c r="N27" s="55"/>
      <c r="O27" s="55">
        <v>1</v>
      </c>
      <c r="P27" s="56"/>
      <c r="Q27" s="56"/>
      <c r="R27" s="56"/>
      <c r="S27" s="56"/>
      <c r="T27" s="56"/>
      <c r="U27" s="56"/>
      <c r="V27" s="56"/>
      <c r="W27" s="56"/>
      <c r="X27" s="56"/>
      <c r="Y27" s="43">
        <f>SUM(Z27:AC27)</f>
        <v>15</v>
      </c>
      <c r="Z27" s="43">
        <f>SUM(G27,P27)</f>
        <v>15</v>
      </c>
      <c r="AA27" s="43">
        <f>SUM(I27,R27)</f>
        <v>0</v>
      </c>
      <c r="AB27" s="43">
        <f>SUM(K27,T27)</f>
        <v>0</v>
      </c>
      <c r="AC27" s="43">
        <f>SUM(M27,V27)</f>
        <v>0</v>
      </c>
      <c r="AD27" s="43">
        <f>SUM(G27:N27,P27:W27)</f>
        <v>25</v>
      </c>
      <c r="AE27" s="43">
        <f>SUM(O27,X27)</f>
        <v>1</v>
      </c>
    </row>
    <row r="28" spans="1:31" ht="22.5" customHeight="1">
      <c r="A28" s="58">
        <v>7.2</v>
      </c>
      <c r="B28" s="368" t="s">
        <v>76</v>
      </c>
      <c r="C28" s="369" t="str">
        <f>RAZEM!C65</f>
        <v>0912-7LEK-C7.2-E</v>
      </c>
      <c r="D28" s="312"/>
      <c r="E28" s="312">
        <v>3</v>
      </c>
      <c r="F28" s="312"/>
      <c r="G28" s="55">
        <v>15</v>
      </c>
      <c r="H28" s="55">
        <v>10</v>
      </c>
      <c r="I28" s="55"/>
      <c r="J28" s="55"/>
      <c r="K28" s="55"/>
      <c r="L28" s="55"/>
      <c r="M28" s="55"/>
      <c r="N28" s="55"/>
      <c r="O28" s="55">
        <v>1</v>
      </c>
      <c r="P28" s="56"/>
      <c r="Q28" s="56"/>
      <c r="R28" s="56"/>
      <c r="S28" s="56"/>
      <c r="T28" s="56"/>
      <c r="U28" s="56"/>
      <c r="V28" s="56"/>
      <c r="W28" s="56"/>
      <c r="X28" s="56"/>
      <c r="Y28" s="43">
        <f t="shared" ref="Y28:Y29" si="13">SUM(Z28:AC28)</f>
        <v>15</v>
      </c>
      <c r="Z28" s="43">
        <f t="shared" ref="Z28:Z29" si="14">SUM(G28,P28)</f>
        <v>15</v>
      </c>
      <c r="AA28" s="43">
        <f t="shared" ref="AA28:AA29" si="15">SUM(I28,R28)</f>
        <v>0</v>
      </c>
      <c r="AB28" s="43">
        <f t="shared" ref="AB28:AB29" si="16">SUM(K28,T28)</f>
        <v>0</v>
      </c>
      <c r="AC28" s="43">
        <f>SUM(M28,V28)</f>
        <v>0</v>
      </c>
      <c r="AD28" s="43">
        <f>SUM(G28:N28,P28:W28)</f>
        <v>25</v>
      </c>
      <c r="AE28" s="43">
        <f>SUM(O28,X28)</f>
        <v>1</v>
      </c>
    </row>
    <row r="29" spans="1:31" ht="22.5" customHeight="1">
      <c r="A29" s="370">
        <v>7.3</v>
      </c>
      <c r="B29" s="368" t="s">
        <v>77</v>
      </c>
      <c r="C29" s="369" t="str">
        <f>RAZEM!C66</f>
        <v>0912-7LEK-C7.3-Z</v>
      </c>
      <c r="D29" s="371"/>
      <c r="E29" s="371">
        <v>4</v>
      </c>
      <c r="F29" s="371"/>
      <c r="G29" s="372"/>
      <c r="H29" s="372"/>
      <c r="I29" s="372"/>
      <c r="J29" s="372"/>
      <c r="K29" s="372"/>
      <c r="L29" s="372"/>
      <c r="M29" s="372"/>
      <c r="N29" s="372"/>
      <c r="O29" s="372"/>
      <c r="P29" s="56">
        <v>15</v>
      </c>
      <c r="Q29" s="56">
        <v>10</v>
      </c>
      <c r="R29" s="56"/>
      <c r="S29" s="56"/>
      <c r="T29" s="56"/>
      <c r="U29" s="56"/>
      <c r="V29" s="56"/>
      <c r="W29" s="56"/>
      <c r="X29" s="56">
        <v>1</v>
      </c>
      <c r="Y29" s="43">
        <f t="shared" si="13"/>
        <v>15</v>
      </c>
      <c r="Z29" s="43">
        <f t="shared" si="14"/>
        <v>15</v>
      </c>
      <c r="AA29" s="43">
        <f t="shared" si="15"/>
        <v>0</v>
      </c>
      <c r="AB29" s="43">
        <f t="shared" si="16"/>
        <v>0</v>
      </c>
      <c r="AC29" s="43">
        <f>SUM(M29,V29)</f>
        <v>0</v>
      </c>
      <c r="AD29" s="43">
        <f>SUM(G29:N29,P29:W29)</f>
        <v>25</v>
      </c>
      <c r="AE29" s="43">
        <f>SUM(O29,X29)</f>
        <v>1</v>
      </c>
    </row>
    <row r="30" spans="1:31" ht="15.75">
      <c r="A30" s="486" t="s">
        <v>9</v>
      </c>
      <c r="B30" s="487"/>
      <c r="C30" s="487"/>
      <c r="D30" s="487"/>
      <c r="E30" s="487"/>
      <c r="F30" s="488"/>
      <c r="G30" s="64">
        <f>SUM(G27:G29)</f>
        <v>30</v>
      </c>
      <c r="H30" s="64">
        <f t="shared" ref="H30:X30" si="17">SUM(H27:H29)</f>
        <v>20</v>
      </c>
      <c r="I30" s="64">
        <f t="shared" si="17"/>
        <v>0</v>
      </c>
      <c r="J30" s="64">
        <f t="shared" si="17"/>
        <v>0</v>
      </c>
      <c r="K30" s="64">
        <f t="shared" si="17"/>
        <v>0</v>
      </c>
      <c r="L30" s="64">
        <f t="shared" si="17"/>
        <v>0</v>
      </c>
      <c r="M30" s="64">
        <f t="shared" si="17"/>
        <v>0</v>
      </c>
      <c r="N30" s="64">
        <f t="shared" si="17"/>
        <v>0</v>
      </c>
      <c r="O30" s="64">
        <f t="shared" si="17"/>
        <v>2</v>
      </c>
      <c r="P30" s="64">
        <f t="shared" si="17"/>
        <v>15</v>
      </c>
      <c r="Q30" s="64">
        <f t="shared" si="17"/>
        <v>10</v>
      </c>
      <c r="R30" s="64">
        <f t="shared" si="17"/>
        <v>0</v>
      </c>
      <c r="S30" s="64">
        <f t="shared" si="17"/>
        <v>0</v>
      </c>
      <c r="T30" s="64">
        <f t="shared" si="17"/>
        <v>0</v>
      </c>
      <c r="U30" s="64">
        <f t="shared" si="17"/>
        <v>0</v>
      </c>
      <c r="V30" s="64">
        <f t="shared" si="17"/>
        <v>0</v>
      </c>
      <c r="W30" s="64">
        <f t="shared" si="17"/>
        <v>0</v>
      </c>
      <c r="X30" s="64">
        <f t="shared" si="17"/>
        <v>1</v>
      </c>
      <c r="Y30" s="64">
        <f>SUM(Y27:Y29)</f>
        <v>45</v>
      </c>
      <c r="Z30" s="64">
        <f t="shared" ref="Z30:AE30" si="18">SUM(Z27:Z29)</f>
        <v>45</v>
      </c>
      <c r="AA30" s="64">
        <f t="shared" si="18"/>
        <v>0</v>
      </c>
      <c r="AB30" s="64">
        <f t="shared" si="18"/>
        <v>0</v>
      </c>
      <c r="AC30" s="64">
        <f t="shared" si="18"/>
        <v>0</v>
      </c>
      <c r="AD30" s="64">
        <f t="shared" si="18"/>
        <v>75</v>
      </c>
      <c r="AE30" s="64">
        <f t="shared" si="18"/>
        <v>3</v>
      </c>
    </row>
    <row r="31" spans="1:31" ht="20.25" customHeight="1">
      <c r="A31" s="315" t="s">
        <v>411</v>
      </c>
      <c r="B31" s="316"/>
      <c r="C31" s="317"/>
      <c r="D31" s="361"/>
      <c r="E31" s="361"/>
      <c r="F31" s="361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62"/>
    </row>
    <row r="32" spans="1:31" ht="20.25" customHeight="1">
      <c r="A32" s="58" t="s">
        <v>309</v>
      </c>
      <c r="B32" s="40" t="s">
        <v>232</v>
      </c>
      <c r="C32" s="310" t="str">
        <f>"0912-7LEK-C"&amp;A32&amp;"-"&amp;UPPER(LEFT(B32,1))&amp;"O"</f>
        <v>0912-7LEK-C8,1-LO</v>
      </c>
      <c r="D32" s="312"/>
      <c r="E32" s="312">
        <v>4</v>
      </c>
      <c r="F32" s="312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56"/>
      <c r="R32" s="56"/>
      <c r="S32" s="56"/>
      <c r="T32" s="56">
        <v>90</v>
      </c>
      <c r="U32" s="56"/>
      <c r="V32" s="56"/>
      <c r="W32" s="56"/>
      <c r="X32" s="56">
        <v>3</v>
      </c>
      <c r="Y32" s="43">
        <f>SUM(Z32:AC32)</f>
        <v>90</v>
      </c>
      <c r="Z32" s="43">
        <f>SUM(G32,P32)</f>
        <v>0</v>
      </c>
      <c r="AA32" s="43">
        <f>SUM(I32,R32)</f>
        <v>0</v>
      </c>
      <c r="AB32" s="43">
        <f>SUM(K32,T32)</f>
        <v>90</v>
      </c>
      <c r="AC32" s="43">
        <f>SUM(M32,V32)</f>
        <v>0</v>
      </c>
      <c r="AD32" s="43">
        <f>SUM(G32:N32,P32:W32)</f>
        <v>90</v>
      </c>
      <c r="AE32" s="43">
        <f>SUM(O32,X32)</f>
        <v>3</v>
      </c>
    </row>
    <row r="33" spans="1:31" ht="20.25" customHeight="1">
      <c r="A33" s="58" t="s">
        <v>310</v>
      </c>
      <c r="B33" s="40" t="s">
        <v>85</v>
      </c>
      <c r="C33" s="310" t="str">
        <f>"0912-7LEK-C"&amp;A33&amp;"-"&amp;UPPER(LEFT(B33,1))&amp;"D"</f>
        <v>0912-7LEK-C8,2-PD</v>
      </c>
      <c r="D33" s="312"/>
      <c r="E33" s="312">
        <v>4</v>
      </c>
      <c r="F33" s="312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6"/>
      <c r="R33" s="56"/>
      <c r="S33" s="56"/>
      <c r="T33" s="56">
        <v>30</v>
      </c>
      <c r="U33" s="56"/>
      <c r="V33" s="56"/>
      <c r="W33" s="56"/>
      <c r="X33" s="56">
        <v>1</v>
      </c>
      <c r="Y33" s="43">
        <f>SUM(Z33:AC33)</f>
        <v>30</v>
      </c>
      <c r="Z33" s="43">
        <f>SUM(G33,P33)</f>
        <v>0</v>
      </c>
      <c r="AA33" s="43">
        <f>SUM(I33,R33)</f>
        <v>0</v>
      </c>
      <c r="AB33" s="43">
        <f>SUM(K33,T33)</f>
        <v>30</v>
      </c>
      <c r="AC33" s="43">
        <f>SUM(M33,V33)</f>
        <v>0</v>
      </c>
      <c r="AD33" s="43">
        <f>SUM(G33:N33,P33:W33)</f>
        <v>30</v>
      </c>
      <c r="AE33" s="43">
        <f>SUM(O33,X33)</f>
        <v>1</v>
      </c>
    </row>
    <row r="34" spans="1:31" ht="15.75">
      <c r="A34" s="486" t="s">
        <v>9</v>
      </c>
      <c r="B34" s="487"/>
      <c r="C34" s="487"/>
      <c r="D34" s="487"/>
      <c r="E34" s="487"/>
      <c r="F34" s="488"/>
      <c r="G34" s="64">
        <f t="shared" ref="G34:X34" si="19">SUM(G32:G33)</f>
        <v>0</v>
      </c>
      <c r="H34" s="64">
        <f t="shared" si="19"/>
        <v>0</v>
      </c>
      <c r="I34" s="64">
        <f t="shared" si="19"/>
        <v>0</v>
      </c>
      <c r="J34" s="64">
        <f t="shared" si="19"/>
        <v>0</v>
      </c>
      <c r="K34" s="64">
        <f t="shared" si="19"/>
        <v>0</v>
      </c>
      <c r="L34" s="64">
        <f t="shared" si="19"/>
        <v>0</v>
      </c>
      <c r="M34" s="64">
        <f t="shared" si="19"/>
        <v>0</v>
      </c>
      <c r="N34" s="64">
        <f t="shared" si="19"/>
        <v>0</v>
      </c>
      <c r="O34" s="64">
        <f t="shared" si="19"/>
        <v>0</v>
      </c>
      <c r="P34" s="64">
        <f t="shared" si="19"/>
        <v>0</v>
      </c>
      <c r="Q34" s="64">
        <f t="shared" si="19"/>
        <v>0</v>
      </c>
      <c r="R34" s="64">
        <f t="shared" si="19"/>
        <v>0</v>
      </c>
      <c r="S34" s="64">
        <f t="shared" si="19"/>
        <v>0</v>
      </c>
      <c r="T34" s="64">
        <f t="shared" si="19"/>
        <v>120</v>
      </c>
      <c r="U34" s="64">
        <f t="shared" si="19"/>
        <v>0</v>
      </c>
      <c r="V34" s="64">
        <f t="shared" si="19"/>
        <v>0</v>
      </c>
      <c r="W34" s="64">
        <f t="shared" si="19"/>
        <v>0</v>
      </c>
      <c r="X34" s="64">
        <f t="shared" si="19"/>
        <v>4</v>
      </c>
      <c r="Y34" s="64">
        <f t="shared" ref="Y34:AE34" si="20">SUM(Y32:Y33)</f>
        <v>120</v>
      </c>
      <c r="Z34" s="64">
        <f t="shared" si="20"/>
        <v>0</v>
      </c>
      <c r="AA34" s="64">
        <f t="shared" si="20"/>
        <v>0</v>
      </c>
      <c r="AB34" s="64">
        <f t="shared" si="20"/>
        <v>120</v>
      </c>
      <c r="AC34" s="64">
        <f t="shared" si="20"/>
        <v>0</v>
      </c>
      <c r="AD34" s="64">
        <f t="shared" si="20"/>
        <v>120</v>
      </c>
      <c r="AE34" s="64">
        <f t="shared" si="20"/>
        <v>4</v>
      </c>
    </row>
    <row r="35" spans="1:31" ht="15.75">
      <c r="A35" s="315" t="s">
        <v>408</v>
      </c>
      <c r="B35" s="316"/>
      <c r="C35" s="317"/>
      <c r="D35" s="361"/>
      <c r="E35" s="361"/>
      <c r="F35" s="361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62"/>
    </row>
    <row r="36" spans="1:31" ht="18" customHeight="1">
      <c r="A36" s="539"/>
      <c r="B36" s="541" t="s">
        <v>402</v>
      </c>
      <c r="C36" s="542"/>
      <c r="D36" s="373"/>
      <c r="E36" s="374">
        <v>3</v>
      </c>
      <c r="F36" s="373"/>
      <c r="G36" s="375"/>
      <c r="H36" s="376"/>
      <c r="I36" s="376">
        <v>25</v>
      </c>
      <c r="J36" s="376">
        <v>25</v>
      </c>
      <c r="K36" s="376"/>
      <c r="L36" s="376"/>
      <c r="M36" s="376"/>
      <c r="N36" s="376"/>
      <c r="O36" s="376">
        <v>2</v>
      </c>
      <c r="P36" s="377"/>
      <c r="Q36" s="377"/>
      <c r="R36" s="377"/>
      <c r="S36" s="377"/>
      <c r="T36" s="377"/>
      <c r="U36" s="377"/>
      <c r="V36" s="377"/>
      <c r="W36" s="377"/>
      <c r="X36" s="377"/>
      <c r="Y36" s="378">
        <f t="shared" ref="Y36:Y37" si="21">SUM(Z36:AC36)</f>
        <v>25</v>
      </c>
      <c r="Z36" s="378">
        <f t="shared" ref="Z36:Z37" si="22">SUM(G36,P36)</f>
        <v>0</v>
      </c>
      <c r="AA36" s="378">
        <f t="shared" ref="AA36:AA37" si="23">SUM(I36,R36)</f>
        <v>25</v>
      </c>
      <c r="AB36" s="378">
        <f t="shared" ref="AB36:AB37" si="24">SUM(K36,T36)</f>
        <v>0</v>
      </c>
      <c r="AC36" s="378">
        <f>SUM(M36,V36)</f>
        <v>0</v>
      </c>
      <c r="AD36" s="378">
        <f>SUM(G36:N36,P36:W36)</f>
        <v>50</v>
      </c>
      <c r="AE36" s="378">
        <f>SUM(O36,X36)</f>
        <v>2</v>
      </c>
    </row>
    <row r="37" spans="1:31" ht="15.75">
      <c r="A37" s="540"/>
      <c r="B37" s="543"/>
      <c r="C37" s="544"/>
      <c r="D37" s="373"/>
      <c r="E37" s="374">
        <v>4</v>
      </c>
      <c r="F37" s="373"/>
      <c r="G37" s="375"/>
      <c r="H37" s="376"/>
      <c r="I37" s="376"/>
      <c r="J37" s="376"/>
      <c r="K37" s="376"/>
      <c r="L37" s="376"/>
      <c r="M37" s="376"/>
      <c r="N37" s="376"/>
      <c r="O37" s="376"/>
      <c r="P37" s="377"/>
      <c r="Q37" s="377"/>
      <c r="R37" s="377">
        <v>25</v>
      </c>
      <c r="S37" s="377">
        <v>25</v>
      </c>
      <c r="T37" s="377"/>
      <c r="U37" s="377"/>
      <c r="V37" s="377"/>
      <c r="W37" s="377"/>
      <c r="X37" s="377">
        <v>2</v>
      </c>
      <c r="Y37" s="378">
        <f t="shared" si="21"/>
        <v>25</v>
      </c>
      <c r="Z37" s="378">
        <f t="shared" si="22"/>
        <v>0</v>
      </c>
      <c r="AA37" s="378">
        <f t="shared" si="23"/>
        <v>25</v>
      </c>
      <c r="AB37" s="378">
        <f t="shared" si="24"/>
        <v>0</v>
      </c>
      <c r="AC37" s="378">
        <f>SUM(M37,V37)</f>
        <v>0</v>
      </c>
      <c r="AD37" s="378">
        <f>SUM(G37:N37,P37:W37)</f>
        <v>50</v>
      </c>
      <c r="AE37" s="378">
        <f>SUM(O37,X37)</f>
        <v>2</v>
      </c>
    </row>
    <row r="38" spans="1:31" ht="15.75">
      <c r="A38" s="486" t="s">
        <v>9</v>
      </c>
      <c r="B38" s="487"/>
      <c r="C38" s="487"/>
      <c r="D38" s="487"/>
      <c r="E38" s="487"/>
      <c r="F38" s="488"/>
      <c r="G38" s="64">
        <f t="shared" ref="G38:AE38" si="25">SUM(G36:G37)</f>
        <v>0</v>
      </c>
      <c r="H38" s="64">
        <f t="shared" si="25"/>
        <v>0</v>
      </c>
      <c r="I38" s="64">
        <f t="shared" si="25"/>
        <v>25</v>
      </c>
      <c r="J38" s="64">
        <f t="shared" si="25"/>
        <v>25</v>
      </c>
      <c r="K38" s="64">
        <f t="shared" si="25"/>
        <v>0</v>
      </c>
      <c r="L38" s="64">
        <f t="shared" si="25"/>
        <v>0</v>
      </c>
      <c r="M38" s="64">
        <f t="shared" si="25"/>
        <v>0</v>
      </c>
      <c r="N38" s="64">
        <f t="shared" si="25"/>
        <v>0</v>
      </c>
      <c r="O38" s="64">
        <f t="shared" si="25"/>
        <v>2</v>
      </c>
      <c r="P38" s="64">
        <f t="shared" si="25"/>
        <v>0</v>
      </c>
      <c r="Q38" s="64">
        <f t="shared" si="25"/>
        <v>0</v>
      </c>
      <c r="R38" s="64">
        <f t="shared" si="25"/>
        <v>25</v>
      </c>
      <c r="S38" s="64">
        <f t="shared" si="25"/>
        <v>25</v>
      </c>
      <c r="T38" s="64">
        <f t="shared" si="25"/>
        <v>0</v>
      </c>
      <c r="U38" s="64">
        <f t="shared" si="25"/>
        <v>0</v>
      </c>
      <c r="V38" s="64">
        <f t="shared" si="25"/>
        <v>0</v>
      </c>
      <c r="W38" s="64">
        <f t="shared" si="25"/>
        <v>0</v>
      </c>
      <c r="X38" s="64">
        <f t="shared" si="25"/>
        <v>2</v>
      </c>
      <c r="Y38" s="64">
        <f t="shared" si="25"/>
        <v>50</v>
      </c>
      <c r="Z38" s="64">
        <f t="shared" si="25"/>
        <v>0</v>
      </c>
      <c r="AA38" s="64">
        <f t="shared" si="25"/>
        <v>50</v>
      </c>
      <c r="AB38" s="64">
        <f t="shared" si="25"/>
        <v>0</v>
      </c>
      <c r="AC38" s="64">
        <f t="shared" si="25"/>
        <v>0</v>
      </c>
      <c r="AD38" s="64">
        <f t="shared" si="25"/>
        <v>100</v>
      </c>
      <c r="AE38" s="64">
        <f t="shared" si="25"/>
        <v>4</v>
      </c>
    </row>
    <row r="39" spans="1:31" ht="15.75">
      <c r="A39" s="315" t="s">
        <v>412</v>
      </c>
      <c r="B39" s="316"/>
      <c r="C39" s="317"/>
      <c r="D39" s="316"/>
      <c r="E39" s="316"/>
      <c r="F39" s="316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62"/>
    </row>
    <row r="40" spans="1:31" ht="15.75">
      <c r="A40" s="58" t="s">
        <v>142</v>
      </c>
      <c r="B40" s="489" t="s">
        <v>116</v>
      </c>
      <c r="C40" s="527"/>
      <c r="D40" s="311"/>
      <c r="E40" s="312">
        <v>3</v>
      </c>
      <c r="F40" s="312"/>
      <c r="G40" s="55"/>
      <c r="H40" s="55"/>
      <c r="I40" s="55">
        <v>20</v>
      </c>
      <c r="J40" s="55">
        <v>5</v>
      </c>
      <c r="K40" s="55"/>
      <c r="L40" s="55"/>
      <c r="M40" s="55"/>
      <c r="N40" s="55"/>
      <c r="O40" s="55">
        <v>1</v>
      </c>
      <c r="P40" s="56"/>
      <c r="Q40" s="56"/>
      <c r="R40" s="56"/>
      <c r="S40" s="56"/>
      <c r="T40" s="56"/>
      <c r="U40" s="56"/>
      <c r="V40" s="56"/>
      <c r="W40" s="56"/>
      <c r="X40" s="56"/>
      <c r="Y40" s="43">
        <f>SUM(Z40:AC40)</f>
        <v>20</v>
      </c>
      <c r="Z40" s="43">
        <f>SUM(G40,P40)</f>
        <v>0</v>
      </c>
      <c r="AA40" s="43">
        <f>SUM(I40,R40)</f>
        <v>20</v>
      </c>
      <c r="AB40" s="43">
        <f>SUM(K40,T40)</f>
        <v>0</v>
      </c>
      <c r="AC40" s="43">
        <f>SUM(M40,V40)</f>
        <v>0</v>
      </c>
      <c r="AD40" s="43">
        <f>SUM(G40:N40,P40:W40)</f>
        <v>25</v>
      </c>
      <c r="AE40" s="43">
        <f>SUM(O40,X40)</f>
        <v>1</v>
      </c>
    </row>
    <row r="41" spans="1:31" ht="15.75">
      <c r="A41" s="58" t="s">
        <v>143</v>
      </c>
      <c r="B41" s="489" t="s">
        <v>116</v>
      </c>
      <c r="C41" s="527"/>
      <c r="D41" s="311"/>
      <c r="E41" s="312">
        <v>3</v>
      </c>
      <c r="F41" s="312"/>
      <c r="G41" s="55">
        <v>15</v>
      </c>
      <c r="H41" s="55">
        <v>10</v>
      </c>
      <c r="I41" s="55"/>
      <c r="J41" s="55"/>
      <c r="K41" s="55"/>
      <c r="L41" s="55"/>
      <c r="M41" s="55"/>
      <c r="N41" s="55"/>
      <c r="O41" s="55">
        <v>1</v>
      </c>
      <c r="P41" s="56"/>
      <c r="Q41" s="56"/>
      <c r="R41" s="56"/>
      <c r="S41" s="56"/>
      <c r="T41" s="56"/>
      <c r="U41" s="56"/>
      <c r="V41" s="56"/>
      <c r="W41" s="56"/>
      <c r="X41" s="56"/>
      <c r="Y41" s="43">
        <f t="shared" ref="Y41:Y44" si="26">SUM(Z41:AC41)</f>
        <v>15</v>
      </c>
      <c r="Z41" s="43">
        <f t="shared" ref="Z41:Z43" si="27">SUM(G41,P41)</f>
        <v>15</v>
      </c>
      <c r="AA41" s="43">
        <f t="shared" ref="AA41:AA43" si="28">SUM(I41,R41)</f>
        <v>0</v>
      </c>
      <c r="AB41" s="43">
        <f t="shared" ref="AB41:AB43" si="29">SUM(K41,T41)</f>
        <v>0</v>
      </c>
      <c r="AC41" s="43">
        <f>SUM(M41,V41)</f>
        <v>0</v>
      </c>
      <c r="AD41" s="43">
        <f>SUM(G41:N41,P41:W41)</f>
        <v>25</v>
      </c>
      <c r="AE41" s="43">
        <f>SUM(O41,X41)</f>
        <v>1</v>
      </c>
    </row>
    <row r="42" spans="1:31" ht="15.75">
      <c r="A42" s="58" t="s">
        <v>144</v>
      </c>
      <c r="B42" s="489" t="s">
        <v>116</v>
      </c>
      <c r="C42" s="527"/>
      <c r="D42" s="311"/>
      <c r="E42" s="312">
        <v>3</v>
      </c>
      <c r="F42" s="312"/>
      <c r="G42" s="55">
        <v>15</v>
      </c>
      <c r="H42" s="55">
        <v>10</v>
      </c>
      <c r="I42" s="55"/>
      <c r="J42" s="55"/>
      <c r="K42" s="55"/>
      <c r="L42" s="55"/>
      <c r="M42" s="55"/>
      <c r="N42" s="55"/>
      <c r="O42" s="55">
        <v>1</v>
      </c>
      <c r="P42" s="56"/>
      <c r="Q42" s="56"/>
      <c r="R42" s="56"/>
      <c r="S42" s="56"/>
      <c r="T42" s="56"/>
      <c r="U42" s="56"/>
      <c r="V42" s="56"/>
      <c r="W42" s="56"/>
      <c r="X42" s="56"/>
      <c r="Y42" s="43">
        <f t="shared" si="26"/>
        <v>15</v>
      </c>
      <c r="Z42" s="43">
        <f t="shared" si="27"/>
        <v>15</v>
      </c>
      <c r="AA42" s="43">
        <f t="shared" si="28"/>
        <v>0</v>
      </c>
      <c r="AB42" s="43">
        <f t="shared" si="29"/>
        <v>0</v>
      </c>
      <c r="AC42" s="43">
        <f>SUM(M42,V42)</f>
        <v>0</v>
      </c>
      <c r="AD42" s="43">
        <f>SUM(G42:N42,P42:W42)</f>
        <v>25</v>
      </c>
      <c r="AE42" s="43">
        <f>SUM(O42,X42)</f>
        <v>1</v>
      </c>
    </row>
    <row r="43" spans="1:31" ht="15.75">
      <c r="A43" s="58" t="s">
        <v>141</v>
      </c>
      <c r="B43" s="489" t="s">
        <v>116</v>
      </c>
      <c r="C43" s="527"/>
      <c r="D43" s="311"/>
      <c r="E43" s="312">
        <v>4</v>
      </c>
      <c r="F43" s="312"/>
      <c r="G43" s="55"/>
      <c r="H43" s="55"/>
      <c r="I43" s="55"/>
      <c r="J43" s="55"/>
      <c r="K43" s="55"/>
      <c r="L43" s="55"/>
      <c r="M43" s="55"/>
      <c r="N43" s="55"/>
      <c r="O43" s="55"/>
      <c r="P43" s="56">
        <v>15</v>
      </c>
      <c r="Q43" s="56">
        <v>10</v>
      </c>
      <c r="R43" s="56"/>
      <c r="S43" s="56"/>
      <c r="T43" s="56"/>
      <c r="U43" s="56"/>
      <c r="V43" s="56"/>
      <c r="W43" s="56"/>
      <c r="X43" s="56">
        <v>1</v>
      </c>
      <c r="Y43" s="43">
        <f t="shared" si="26"/>
        <v>15</v>
      </c>
      <c r="Z43" s="43">
        <f t="shared" si="27"/>
        <v>15</v>
      </c>
      <c r="AA43" s="43">
        <f t="shared" si="28"/>
        <v>0</v>
      </c>
      <c r="AB43" s="43">
        <f t="shared" si="29"/>
        <v>0</v>
      </c>
      <c r="AC43" s="43">
        <f>SUM(M43,V43)</f>
        <v>0</v>
      </c>
      <c r="AD43" s="43">
        <f>SUM(G43:N43,P43:W43)</f>
        <v>25</v>
      </c>
      <c r="AE43" s="43">
        <f>SUM(O43,X43)</f>
        <v>1</v>
      </c>
    </row>
    <row r="44" spans="1:31" ht="15.75">
      <c r="A44" s="379" t="s">
        <v>126</v>
      </c>
      <c r="B44" s="489" t="s">
        <v>116</v>
      </c>
      <c r="C44" s="527"/>
      <c r="D44" s="311"/>
      <c r="E44" s="312">
        <v>4</v>
      </c>
      <c r="F44" s="312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6"/>
      <c r="R44" s="56">
        <v>20</v>
      </c>
      <c r="S44" s="56">
        <v>5</v>
      </c>
      <c r="T44" s="56"/>
      <c r="U44" s="56"/>
      <c r="V44" s="56"/>
      <c r="W44" s="56"/>
      <c r="X44" s="56">
        <v>1</v>
      </c>
      <c r="Y44" s="43">
        <f t="shared" si="26"/>
        <v>20</v>
      </c>
      <c r="Z44" s="43">
        <f>G44+P44</f>
        <v>0</v>
      </c>
      <c r="AA44" s="43">
        <f>I44+R44</f>
        <v>20</v>
      </c>
      <c r="AB44" s="43">
        <f>K44+T44</f>
        <v>0</v>
      </c>
      <c r="AC44" s="43">
        <f>M44+V44</f>
        <v>0</v>
      </c>
      <c r="AD44" s="43">
        <f>SUM(G44:N44,P44:W44)</f>
        <v>25</v>
      </c>
      <c r="AE44" s="43">
        <f>O44+X44</f>
        <v>1</v>
      </c>
    </row>
    <row r="45" spans="1:31" ht="16.5" thickBot="1">
      <c r="A45" s="531" t="s">
        <v>9</v>
      </c>
      <c r="B45" s="532"/>
      <c r="C45" s="532"/>
      <c r="D45" s="532"/>
      <c r="E45" s="532"/>
      <c r="F45" s="533"/>
      <c r="G45" s="64">
        <f>SUM(G40:G44)</f>
        <v>30</v>
      </c>
      <c r="H45" s="64">
        <f t="shared" ref="H45:AE45" si="30">SUM(H40:H44)</f>
        <v>20</v>
      </c>
      <c r="I45" s="64">
        <f t="shared" si="30"/>
        <v>20</v>
      </c>
      <c r="J45" s="64">
        <f t="shared" si="30"/>
        <v>5</v>
      </c>
      <c r="K45" s="64">
        <f t="shared" si="30"/>
        <v>0</v>
      </c>
      <c r="L45" s="64">
        <f t="shared" si="30"/>
        <v>0</v>
      </c>
      <c r="M45" s="64">
        <f t="shared" si="30"/>
        <v>0</v>
      </c>
      <c r="N45" s="64">
        <f t="shared" si="30"/>
        <v>0</v>
      </c>
      <c r="O45" s="64">
        <f t="shared" si="30"/>
        <v>3</v>
      </c>
      <c r="P45" s="64">
        <f t="shared" si="30"/>
        <v>15</v>
      </c>
      <c r="Q45" s="64">
        <f t="shared" si="30"/>
        <v>10</v>
      </c>
      <c r="R45" s="64">
        <f t="shared" si="30"/>
        <v>20</v>
      </c>
      <c r="S45" s="64">
        <f t="shared" si="30"/>
        <v>5</v>
      </c>
      <c r="T45" s="64">
        <f t="shared" si="30"/>
        <v>0</v>
      </c>
      <c r="U45" s="64">
        <f t="shared" si="30"/>
        <v>0</v>
      </c>
      <c r="V45" s="64">
        <f t="shared" si="30"/>
        <v>0</v>
      </c>
      <c r="W45" s="64">
        <f t="shared" si="30"/>
        <v>0</v>
      </c>
      <c r="X45" s="64">
        <f t="shared" si="30"/>
        <v>2</v>
      </c>
      <c r="Y45" s="64">
        <f t="shared" si="30"/>
        <v>85</v>
      </c>
      <c r="Z45" s="64">
        <f t="shared" si="30"/>
        <v>45</v>
      </c>
      <c r="AA45" s="64">
        <f t="shared" si="30"/>
        <v>40</v>
      </c>
      <c r="AB45" s="64">
        <f t="shared" si="30"/>
        <v>0</v>
      </c>
      <c r="AC45" s="64">
        <f t="shared" si="30"/>
        <v>0</v>
      </c>
      <c r="AD45" s="64">
        <f t="shared" si="30"/>
        <v>125</v>
      </c>
      <c r="AE45" s="64">
        <f t="shared" si="30"/>
        <v>5</v>
      </c>
    </row>
    <row r="46" spans="1:31" ht="26.25" customHeight="1" thickBot="1">
      <c r="A46" s="480" t="s">
        <v>21</v>
      </c>
      <c r="B46" s="481"/>
      <c r="C46" s="481"/>
      <c r="D46" s="481"/>
      <c r="E46" s="481"/>
      <c r="F46" s="482"/>
      <c r="G46" s="327">
        <f t="shared" ref="G46:AE46" si="31">G14+G21+G25+G30+G34+G38+G45</f>
        <v>175</v>
      </c>
      <c r="H46" s="327">
        <f t="shared" si="31"/>
        <v>230</v>
      </c>
      <c r="I46" s="327">
        <f t="shared" si="31"/>
        <v>150</v>
      </c>
      <c r="J46" s="327">
        <f t="shared" si="31"/>
        <v>140</v>
      </c>
      <c r="K46" s="327">
        <f t="shared" si="31"/>
        <v>0</v>
      </c>
      <c r="L46" s="327">
        <f t="shared" si="31"/>
        <v>0</v>
      </c>
      <c r="M46" s="327">
        <f t="shared" si="31"/>
        <v>75</v>
      </c>
      <c r="N46" s="327">
        <f t="shared" si="31"/>
        <v>0</v>
      </c>
      <c r="O46" s="327">
        <f t="shared" si="31"/>
        <v>30.5</v>
      </c>
      <c r="P46" s="327">
        <f t="shared" si="31"/>
        <v>135</v>
      </c>
      <c r="Q46" s="327">
        <f t="shared" si="31"/>
        <v>140</v>
      </c>
      <c r="R46" s="327">
        <f t="shared" si="31"/>
        <v>145</v>
      </c>
      <c r="S46" s="327">
        <f t="shared" si="31"/>
        <v>155</v>
      </c>
      <c r="T46" s="327">
        <f t="shared" si="31"/>
        <v>120</v>
      </c>
      <c r="U46" s="327">
        <f t="shared" si="31"/>
        <v>0</v>
      </c>
      <c r="V46" s="327">
        <f t="shared" si="31"/>
        <v>70</v>
      </c>
      <c r="W46" s="327">
        <f t="shared" si="31"/>
        <v>0</v>
      </c>
      <c r="X46" s="327">
        <f t="shared" si="31"/>
        <v>29.5</v>
      </c>
      <c r="Y46" s="327">
        <f t="shared" si="31"/>
        <v>870</v>
      </c>
      <c r="Z46" s="327">
        <f t="shared" si="31"/>
        <v>310</v>
      </c>
      <c r="AA46" s="327">
        <f t="shared" si="31"/>
        <v>295</v>
      </c>
      <c r="AB46" s="327">
        <f t="shared" si="31"/>
        <v>120</v>
      </c>
      <c r="AC46" s="327">
        <f t="shared" si="31"/>
        <v>145</v>
      </c>
      <c r="AD46" s="327">
        <f t="shared" si="31"/>
        <v>1535</v>
      </c>
      <c r="AE46" s="327">
        <f t="shared" si="31"/>
        <v>60</v>
      </c>
    </row>
    <row r="47" spans="1:31" ht="21">
      <c r="A47" s="380"/>
      <c r="B47" s="381"/>
      <c r="C47" s="382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</row>
    <row r="48" spans="1:31" ht="18">
      <c r="A48" s="530" t="s">
        <v>363</v>
      </c>
      <c r="B48" s="530"/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</row>
    <row r="49" spans="1:31" ht="7.5" customHeight="1">
      <c r="A49" s="380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</row>
    <row r="50" spans="1:31" ht="30" customHeight="1">
      <c r="A50" s="58" t="s">
        <v>142</v>
      </c>
      <c r="B50" s="19" t="s">
        <v>125</v>
      </c>
      <c r="C50" s="310" t="str">
        <f>'FAKULTETY '!D13</f>
        <v>0912-7LEK-F-5-MOD</v>
      </c>
      <c r="D50" s="311"/>
      <c r="E50" s="312">
        <v>3</v>
      </c>
      <c r="F50" s="312"/>
      <c r="G50" s="55"/>
      <c r="H50" s="55"/>
      <c r="I50" s="55">
        <v>20</v>
      </c>
      <c r="J50" s="55">
        <v>5</v>
      </c>
      <c r="K50" s="55"/>
      <c r="L50" s="55"/>
      <c r="M50" s="55"/>
      <c r="N50" s="55"/>
      <c r="O50" s="55">
        <v>1</v>
      </c>
      <c r="P50" s="56"/>
      <c r="Q50" s="56"/>
      <c r="R50" s="56"/>
      <c r="S50" s="56"/>
      <c r="T50" s="56"/>
      <c r="U50" s="56"/>
      <c r="V50" s="56"/>
      <c r="W50" s="56"/>
      <c r="X50" s="56"/>
      <c r="Y50" s="43">
        <f t="shared" ref="Y50:Y59" si="32">SUM(G50,I50,K50,M50,P50,R50,T50,V50)</f>
        <v>20</v>
      </c>
      <c r="Z50" s="43">
        <f>G50+P50</f>
        <v>0</v>
      </c>
      <c r="AA50" s="43">
        <f t="shared" ref="AA50:AA59" si="33">SUM(I50,R50)</f>
        <v>20</v>
      </c>
      <c r="AB50" s="43">
        <f t="shared" ref="AB50:AB59" si="34">SUM(K50,T50)</f>
        <v>0</v>
      </c>
      <c r="AC50" s="43">
        <f t="shared" ref="AC50:AC59" si="35">SUM(M50,V50)</f>
        <v>0</v>
      </c>
      <c r="AD50" s="43">
        <f t="shared" ref="AD50:AD59" si="36">SUM(G50:N50,P50:W50)</f>
        <v>25</v>
      </c>
      <c r="AE50" s="43">
        <f t="shared" ref="AE50:AE59" si="37">SUM(O50,X50)</f>
        <v>1</v>
      </c>
    </row>
    <row r="51" spans="1:31" ht="24" customHeight="1">
      <c r="A51" s="58" t="s">
        <v>143</v>
      </c>
      <c r="B51" s="19" t="s">
        <v>124</v>
      </c>
      <c r="C51" s="310" t="str">
        <f>'FAKULTETY '!D14</f>
        <v>0912-7LEK-F-6-ZMG</v>
      </c>
      <c r="D51" s="311"/>
      <c r="E51" s="312">
        <v>3</v>
      </c>
      <c r="F51" s="312"/>
      <c r="G51" s="55">
        <v>15</v>
      </c>
      <c r="H51" s="55">
        <v>10</v>
      </c>
      <c r="I51" s="55"/>
      <c r="J51" s="55"/>
      <c r="K51" s="55"/>
      <c r="L51" s="55"/>
      <c r="M51" s="55"/>
      <c r="N51" s="55"/>
      <c r="O51" s="55">
        <v>1</v>
      </c>
      <c r="P51" s="56"/>
      <c r="Q51" s="56"/>
      <c r="R51" s="56"/>
      <c r="S51" s="56"/>
      <c r="T51" s="56"/>
      <c r="U51" s="56"/>
      <c r="V51" s="56"/>
      <c r="W51" s="56"/>
      <c r="X51" s="56"/>
      <c r="Y51" s="43">
        <f t="shared" si="32"/>
        <v>15</v>
      </c>
      <c r="Z51" s="43">
        <f t="shared" ref="Z51:Z59" si="38">G51+P51</f>
        <v>15</v>
      </c>
      <c r="AA51" s="43">
        <f t="shared" si="33"/>
        <v>0</v>
      </c>
      <c r="AB51" s="43">
        <f t="shared" si="34"/>
        <v>0</v>
      </c>
      <c r="AC51" s="43">
        <f t="shared" si="35"/>
        <v>0</v>
      </c>
      <c r="AD51" s="43">
        <f t="shared" si="36"/>
        <v>25</v>
      </c>
      <c r="AE51" s="43">
        <f t="shared" si="37"/>
        <v>1</v>
      </c>
    </row>
    <row r="52" spans="1:31" ht="21.75" customHeight="1">
      <c r="A52" s="58" t="s">
        <v>144</v>
      </c>
      <c r="B52" s="19" t="s">
        <v>178</v>
      </c>
      <c r="C52" s="310" t="str">
        <f>"0912-7LEK-F"&amp;A52&amp;"-"&amp;UPPER(LEFT(B52,1))&amp;"A"</f>
        <v>0912-7LEK-F7-RA</v>
      </c>
      <c r="D52" s="311"/>
      <c r="E52" s="312">
        <v>3</v>
      </c>
      <c r="F52" s="312"/>
      <c r="G52" s="55">
        <v>15</v>
      </c>
      <c r="H52" s="55">
        <v>10</v>
      </c>
      <c r="I52" s="55"/>
      <c r="J52" s="55"/>
      <c r="K52" s="55"/>
      <c r="L52" s="55"/>
      <c r="M52" s="55"/>
      <c r="N52" s="55"/>
      <c r="O52" s="55">
        <v>1</v>
      </c>
      <c r="P52" s="56"/>
      <c r="Q52" s="56"/>
      <c r="R52" s="56"/>
      <c r="S52" s="56"/>
      <c r="T52" s="56"/>
      <c r="U52" s="56"/>
      <c r="V52" s="56"/>
      <c r="W52" s="56"/>
      <c r="X52" s="56"/>
      <c r="Y52" s="43">
        <f t="shared" si="32"/>
        <v>15</v>
      </c>
      <c r="Z52" s="43">
        <f t="shared" si="38"/>
        <v>15</v>
      </c>
      <c r="AA52" s="43">
        <f t="shared" si="33"/>
        <v>0</v>
      </c>
      <c r="AB52" s="43">
        <f t="shared" si="34"/>
        <v>0</v>
      </c>
      <c r="AC52" s="43">
        <f t="shared" si="35"/>
        <v>0</v>
      </c>
      <c r="AD52" s="43">
        <f t="shared" si="36"/>
        <v>25</v>
      </c>
      <c r="AE52" s="43">
        <f t="shared" si="37"/>
        <v>1</v>
      </c>
    </row>
    <row r="53" spans="1:31" ht="40.5" customHeight="1">
      <c r="A53" s="58" t="s">
        <v>141</v>
      </c>
      <c r="B53" s="19" t="str">
        <f>'[1]II rok'!$B$51</f>
        <v>Molekularne podstawy działania narządów zmysłów</v>
      </c>
      <c r="C53" s="310" t="str">
        <f>"0912-7LEK-F"&amp;A53&amp;"-"&amp;UPPER(LEFT(B53,1))&amp;"P"</f>
        <v>0912-7LEK-F8-MP</v>
      </c>
      <c r="D53" s="311"/>
      <c r="E53" s="312">
        <v>3</v>
      </c>
      <c r="F53" s="312"/>
      <c r="G53" s="55">
        <v>15</v>
      </c>
      <c r="H53" s="55">
        <v>10</v>
      </c>
      <c r="I53" s="55"/>
      <c r="J53" s="55"/>
      <c r="K53" s="55"/>
      <c r="L53" s="55"/>
      <c r="M53" s="55"/>
      <c r="N53" s="55"/>
      <c r="O53" s="55">
        <v>1</v>
      </c>
      <c r="P53" s="56"/>
      <c r="Q53" s="56"/>
      <c r="R53" s="56"/>
      <c r="S53" s="56"/>
      <c r="T53" s="56"/>
      <c r="U53" s="56"/>
      <c r="V53" s="56"/>
      <c r="W53" s="56"/>
      <c r="X53" s="56"/>
      <c r="Y53" s="43">
        <f t="shared" si="32"/>
        <v>15</v>
      </c>
      <c r="Z53" s="43">
        <f t="shared" si="38"/>
        <v>15</v>
      </c>
      <c r="AA53" s="43">
        <f t="shared" si="33"/>
        <v>0</v>
      </c>
      <c r="AB53" s="43">
        <f t="shared" si="34"/>
        <v>0</v>
      </c>
      <c r="AC53" s="43">
        <f t="shared" si="35"/>
        <v>0</v>
      </c>
      <c r="AD53" s="43">
        <f t="shared" si="36"/>
        <v>25</v>
      </c>
      <c r="AE53" s="43">
        <f t="shared" si="37"/>
        <v>1</v>
      </c>
    </row>
    <row r="54" spans="1:31" ht="21.75" customHeight="1">
      <c r="A54" s="58" t="s">
        <v>126</v>
      </c>
      <c r="B54" s="19" t="s">
        <v>188</v>
      </c>
      <c r="C54" s="310" t="str">
        <f>"0912-7LEK-F"&amp;A54&amp;"-"&amp;UPPER(LEFT(B54,1))&amp;"G"</f>
        <v>0912-7LEK-F9-IG</v>
      </c>
      <c r="D54" s="311"/>
      <c r="E54" s="312">
        <v>4</v>
      </c>
      <c r="F54" s="312"/>
      <c r="G54" s="55"/>
      <c r="H54" s="55"/>
      <c r="I54" s="55"/>
      <c r="J54" s="55"/>
      <c r="K54" s="55"/>
      <c r="L54" s="55"/>
      <c r="M54" s="55"/>
      <c r="N54" s="55"/>
      <c r="O54" s="55"/>
      <c r="P54" s="56">
        <v>15</v>
      </c>
      <c r="Q54" s="56">
        <v>10</v>
      </c>
      <c r="R54" s="56"/>
      <c r="S54" s="56"/>
      <c r="T54" s="56"/>
      <c r="U54" s="56"/>
      <c r="V54" s="56"/>
      <c r="W54" s="56"/>
      <c r="X54" s="56">
        <v>1</v>
      </c>
      <c r="Y54" s="43">
        <f t="shared" si="32"/>
        <v>15</v>
      </c>
      <c r="Z54" s="43">
        <f t="shared" si="38"/>
        <v>15</v>
      </c>
      <c r="AA54" s="43">
        <f t="shared" si="33"/>
        <v>0</v>
      </c>
      <c r="AB54" s="43">
        <f t="shared" si="34"/>
        <v>0</v>
      </c>
      <c r="AC54" s="43">
        <f t="shared" si="35"/>
        <v>0</v>
      </c>
      <c r="AD54" s="43">
        <f t="shared" si="36"/>
        <v>25</v>
      </c>
      <c r="AE54" s="43">
        <f t="shared" si="37"/>
        <v>1</v>
      </c>
    </row>
    <row r="55" spans="1:31" ht="21.75" customHeight="1">
      <c r="A55" s="58" t="s">
        <v>129</v>
      </c>
      <c r="B55" s="48" t="s">
        <v>134</v>
      </c>
      <c r="C55" s="310" t="str">
        <f>"0912-7LEK-F-"&amp;A55&amp;"-"&amp;UPPER(LEFT(B55,1))&amp;"f"</f>
        <v>0912-7LEK-F-10-Ef</v>
      </c>
      <c r="D55" s="311"/>
      <c r="E55" s="312">
        <v>4</v>
      </c>
      <c r="F55" s="312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6"/>
      <c r="R55" s="56">
        <v>20</v>
      </c>
      <c r="S55" s="56">
        <v>5</v>
      </c>
      <c r="T55" s="56"/>
      <c r="U55" s="56"/>
      <c r="V55" s="56"/>
      <c r="W55" s="56"/>
      <c r="X55" s="56">
        <v>1</v>
      </c>
      <c r="Y55" s="43">
        <f t="shared" si="32"/>
        <v>20</v>
      </c>
      <c r="Z55" s="43">
        <f t="shared" si="38"/>
        <v>0</v>
      </c>
      <c r="AA55" s="43">
        <f t="shared" si="33"/>
        <v>20</v>
      </c>
      <c r="AB55" s="43">
        <f t="shared" si="34"/>
        <v>0</v>
      </c>
      <c r="AC55" s="43">
        <f t="shared" si="35"/>
        <v>0</v>
      </c>
      <c r="AD55" s="43">
        <f t="shared" si="36"/>
        <v>25</v>
      </c>
      <c r="AE55" s="43">
        <f t="shared" si="37"/>
        <v>1</v>
      </c>
    </row>
    <row r="56" spans="1:31" ht="21.75" customHeight="1">
      <c r="A56" s="58" t="s">
        <v>130</v>
      </c>
      <c r="B56" s="48" t="s">
        <v>135</v>
      </c>
      <c r="C56" s="310" t="str">
        <f>"0912-7LEK-F-"&amp;A56&amp;"-"&amp;UPPER(LEFT(B56,1))&amp;"M"</f>
        <v>0912-7LEK-F-11-AM</v>
      </c>
      <c r="D56" s="311"/>
      <c r="E56" s="312">
        <v>4</v>
      </c>
      <c r="F56" s="312"/>
      <c r="G56" s="55"/>
      <c r="H56" s="55"/>
      <c r="I56" s="55"/>
      <c r="J56" s="55"/>
      <c r="K56" s="55"/>
      <c r="L56" s="55"/>
      <c r="M56" s="55"/>
      <c r="N56" s="55"/>
      <c r="O56" s="55"/>
      <c r="P56" s="56">
        <v>15</v>
      </c>
      <c r="Q56" s="56">
        <v>10</v>
      </c>
      <c r="R56" s="56"/>
      <c r="S56" s="56"/>
      <c r="T56" s="56"/>
      <c r="U56" s="56"/>
      <c r="V56" s="56"/>
      <c r="W56" s="56"/>
      <c r="X56" s="56">
        <v>1</v>
      </c>
      <c r="Y56" s="43">
        <f t="shared" si="32"/>
        <v>15</v>
      </c>
      <c r="Z56" s="43">
        <f t="shared" si="38"/>
        <v>15</v>
      </c>
      <c r="AA56" s="43">
        <f t="shared" si="33"/>
        <v>0</v>
      </c>
      <c r="AB56" s="43">
        <f t="shared" si="34"/>
        <v>0</v>
      </c>
      <c r="AC56" s="43">
        <f t="shared" si="35"/>
        <v>0</v>
      </c>
      <c r="AD56" s="43">
        <f t="shared" si="36"/>
        <v>25</v>
      </c>
      <c r="AE56" s="43">
        <f t="shared" si="37"/>
        <v>1</v>
      </c>
    </row>
    <row r="57" spans="1:31" ht="21.75" customHeight="1">
      <c r="A57" s="58" t="s">
        <v>131</v>
      </c>
      <c r="B57" s="48" t="s">
        <v>136</v>
      </c>
      <c r="C57" s="310" t="str">
        <f>"0912-7LEK-F-"&amp;A57&amp;"-"&amp;UPPER(LEFT(B57,1))&amp;"O"</f>
        <v>0912-7LEK-F-12-IO</v>
      </c>
      <c r="D57" s="311"/>
      <c r="E57" s="312">
        <v>4</v>
      </c>
      <c r="F57" s="312"/>
      <c r="G57" s="55"/>
      <c r="H57" s="55"/>
      <c r="I57" s="55"/>
      <c r="J57" s="55"/>
      <c r="K57" s="55"/>
      <c r="L57" s="55"/>
      <c r="M57" s="55"/>
      <c r="N57" s="55"/>
      <c r="O57" s="55"/>
      <c r="P57" s="56">
        <v>15</v>
      </c>
      <c r="Q57" s="56">
        <v>10</v>
      </c>
      <c r="R57" s="56"/>
      <c r="S57" s="56"/>
      <c r="T57" s="56"/>
      <c r="U57" s="56"/>
      <c r="V57" s="56"/>
      <c r="W57" s="56"/>
      <c r="X57" s="56">
        <v>1</v>
      </c>
      <c r="Y57" s="43">
        <f t="shared" si="32"/>
        <v>15</v>
      </c>
      <c r="Z57" s="43">
        <f t="shared" si="38"/>
        <v>15</v>
      </c>
      <c r="AA57" s="43">
        <f t="shared" si="33"/>
        <v>0</v>
      </c>
      <c r="AB57" s="43">
        <f t="shared" si="34"/>
        <v>0</v>
      </c>
      <c r="AC57" s="43">
        <f t="shared" si="35"/>
        <v>0</v>
      </c>
      <c r="AD57" s="43">
        <f t="shared" si="36"/>
        <v>25</v>
      </c>
      <c r="AE57" s="43">
        <f t="shared" si="37"/>
        <v>1</v>
      </c>
    </row>
    <row r="58" spans="1:31" ht="21" customHeight="1">
      <c r="A58" s="58" t="s">
        <v>132</v>
      </c>
      <c r="B58" s="48" t="s">
        <v>269</v>
      </c>
      <c r="C58" s="310" t="str">
        <f>"0912-7LEK-F-"&amp;A58&amp;"-"&amp;UPPER(LEFT(B58,1))&amp;"O"</f>
        <v>0912-7LEK-F-13-HO</v>
      </c>
      <c r="D58" s="311"/>
      <c r="E58" s="312">
        <v>4</v>
      </c>
      <c r="F58" s="312"/>
      <c r="G58" s="55"/>
      <c r="H58" s="55"/>
      <c r="I58" s="55"/>
      <c r="J58" s="55"/>
      <c r="K58" s="55"/>
      <c r="L58" s="55"/>
      <c r="M58" s="55"/>
      <c r="N58" s="55"/>
      <c r="O58" s="55"/>
      <c r="P58" s="56">
        <v>15</v>
      </c>
      <c r="Q58" s="56">
        <v>10</v>
      </c>
      <c r="R58" s="56"/>
      <c r="S58" s="56"/>
      <c r="T58" s="56"/>
      <c r="U58" s="56"/>
      <c r="V58" s="56"/>
      <c r="W58" s="56"/>
      <c r="X58" s="56">
        <v>1</v>
      </c>
      <c r="Y58" s="43">
        <f t="shared" si="32"/>
        <v>15</v>
      </c>
      <c r="Z58" s="43">
        <f t="shared" si="38"/>
        <v>15</v>
      </c>
      <c r="AA58" s="43">
        <f t="shared" si="33"/>
        <v>0</v>
      </c>
      <c r="AB58" s="43">
        <f t="shared" si="34"/>
        <v>0</v>
      </c>
      <c r="AC58" s="43">
        <f t="shared" si="35"/>
        <v>0</v>
      </c>
      <c r="AD58" s="43">
        <f t="shared" si="36"/>
        <v>25</v>
      </c>
      <c r="AE58" s="43">
        <f t="shared" si="37"/>
        <v>1</v>
      </c>
    </row>
    <row r="59" spans="1:31" ht="21" customHeight="1">
      <c r="A59" s="58" t="s">
        <v>133</v>
      </c>
      <c r="B59" s="48" t="s">
        <v>330</v>
      </c>
      <c r="C59" s="310" t="s">
        <v>400</v>
      </c>
      <c r="D59" s="311"/>
      <c r="E59" s="321" t="s">
        <v>247</v>
      </c>
      <c r="F59" s="312"/>
      <c r="G59" s="55"/>
      <c r="H59" s="55"/>
      <c r="I59" s="55">
        <v>20</v>
      </c>
      <c r="J59" s="55">
        <v>5</v>
      </c>
      <c r="K59" s="55"/>
      <c r="L59" s="55"/>
      <c r="M59" s="55"/>
      <c r="N59" s="55"/>
      <c r="O59" s="55">
        <v>1</v>
      </c>
      <c r="P59" s="56"/>
      <c r="Q59" s="56"/>
      <c r="R59" s="56">
        <v>20</v>
      </c>
      <c r="S59" s="56">
        <v>5</v>
      </c>
      <c r="T59" s="56"/>
      <c r="U59" s="56"/>
      <c r="V59" s="56"/>
      <c r="W59" s="56"/>
      <c r="X59" s="56">
        <v>1</v>
      </c>
      <c r="Y59" s="43">
        <f t="shared" si="32"/>
        <v>40</v>
      </c>
      <c r="Z59" s="43">
        <f t="shared" si="38"/>
        <v>0</v>
      </c>
      <c r="AA59" s="43">
        <f t="shared" si="33"/>
        <v>40</v>
      </c>
      <c r="AB59" s="43">
        <f t="shared" si="34"/>
        <v>0</v>
      </c>
      <c r="AC59" s="43">
        <f t="shared" si="35"/>
        <v>0</v>
      </c>
      <c r="AD59" s="43">
        <f t="shared" si="36"/>
        <v>50</v>
      </c>
      <c r="AE59" s="43">
        <f t="shared" si="37"/>
        <v>2</v>
      </c>
    </row>
    <row r="60" spans="1:31" ht="14.25" customHeight="1">
      <c r="A60" s="384"/>
      <c r="B60" s="167"/>
      <c r="C60" s="385"/>
      <c r="D60" s="386"/>
      <c r="E60" s="387"/>
      <c r="F60" s="387"/>
      <c r="G60" s="168"/>
      <c r="H60" s="168"/>
      <c r="I60" s="168"/>
      <c r="J60" s="168"/>
      <c r="K60" s="168"/>
      <c r="L60" s="168"/>
      <c r="M60" s="168"/>
      <c r="N60" s="168"/>
      <c r="O60" s="168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</row>
    <row r="61" spans="1:31" ht="15.75">
      <c r="A61" s="528" t="s">
        <v>403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529"/>
      <c r="AC61" s="529"/>
      <c r="AD61" s="529"/>
      <c r="AE61" s="529"/>
    </row>
    <row r="62" spans="1:31" ht="19.5" customHeight="1">
      <c r="A62" s="58" t="s">
        <v>451</v>
      </c>
      <c r="B62" s="45" t="s">
        <v>187</v>
      </c>
      <c r="C62" s="310" t="str">
        <f>"0912-7LEK-A"&amp;A62&amp;"-"&amp;UPPER(LEFT(B62,1))&amp;""</f>
        <v>0912-7LEK-A10,6-R</v>
      </c>
      <c r="D62" s="311"/>
      <c r="E62" s="321" t="s">
        <v>196</v>
      </c>
      <c r="F62" s="323"/>
      <c r="G62" s="55"/>
      <c r="H62" s="55"/>
      <c r="I62" s="55">
        <v>25</v>
      </c>
      <c r="J62" s="55">
        <v>25</v>
      </c>
      <c r="K62" s="55"/>
      <c r="L62" s="55"/>
      <c r="M62" s="55"/>
      <c r="N62" s="55"/>
      <c r="O62" s="55">
        <v>2</v>
      </c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</row>
    <row r="63" spans="1:31" ht="19.5" customHeight="1">
      <c r="A63" s="58" t="s">
        <v>452</v>
      </c>
      <c r="B63" s="45" t="s">
        <v>204</v>
      </c>
      <c r="C63" s="310" t="str">
        <f>"0912-7LEK-A"&amp;A63&amp;"-"&amp;UPPER(LEFT(B63,1))&amp;""</f>
        <v>0912-7LEK-A10,7-M</v>
      </c>
      <c r="D63" s="311"/>
      <c r="E63" s="321" t="s">
        <v>196</v>
      </c>
      <c r="F63" s="312"/>
      <c r="G63" s="55"/>
      <c r="H63" s="55"/>
      <c r="I63" s="55">
        <v>25</v>
      </c>
      <c r="J63" s="55">
        <v>25</v>
      </c>
      <c r="K63" s="55"/>
      <c r="L63" s="55"/>
      <c r="M63" s="55"/>
      <c r="N63" s="55"/>
      <c r="O63" s="55">
        <v>2</v>
      </c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</row>
    <row r="64" spans="1:31" ht="19.5" customHeight="1">
      <c r="A64" s="58" t="s">
        <v>453</v>
      </c>
      <c r="B64" s="45" t="s">
        <v>184</v>
      </c>
      <c r="C64" s="310" t="str">
        <f>"0912-7LEK-A"&amp;A64&amp;"-"&amp;UPPER(LEFT(B64,1))&amp;""</f>
        <v>0912-7LEK-A10,8-C</v>
      </c>
      <c r="D64" s="311"/>
      <c r="E64" s="321" t="s">
        <v>196</v>
      </c>
      <c r="F64" s="312"/>
      <c r="G64" s="55"/>
      <c r="H64" s="55"/>
      <c r="I64" s="55">
        <v>25</v>
      </c>
      <c r="J64" s="55">
        <v>25</v>
      </c>
      <c r="K64" s="55"/>
      <c r="L64" s="55"/>
      <c r="M64" s="55"/>
      <c r="N64" s="55"/>
      <c r="O64" s="55">
        <v>2</v>
      </c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</row>
    <row r="65" spans="1:31" ht="19.5" customHeight="1">
      <c r="A65" s="58" t="s">
        <v>454</v>
      </c>
      <c r="B65" s="45" t="s">
        <v>185</v>
      </c>
      <c r="C65" s="310" t="str">
        <f>"0912-7LEK-A"&amp;A65&amp;"-"&amp;UPPER(LEFT(B65,1))&amp;"RO"</f>
        <v>0912-7LEK-A10,9-PRO</v>
      </c>
      <c r="D65" s="311"/>
      <c r="E65" s="321" t="s">
        <v>196</v>
      </c>
      <c r="F65" s="312"/>
      <c r="G65" s="55"/>
      <c r="H65" s="55"/>
      <c r="I65" s="55">
        <v>25</v>
      </c>
      <c r="J65" s="55">
        <v>25</v>
      </c>
      <c r="K65" s="55"/>
      <c r="L65" s="55"/>
      <c r="M65" s="55"/>
      <c r="N65" s="55"/>
      <c r="O65" s="55">
        <v>2</v>
      </c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</row>
    <row r="66" spans="1:31" ht="19.5" customHeight="1">
      <c r="A66" s="58" t="s">
        <v>455</v>
      </c>
      <c r="B66" s="45" t="s">
        <v>186</v>
      </c>
      <c r="C66" s="310" t="str">
        <f>"0912-7LEK-A"&amp;A66&amp;"-"&amp;UPPER(LEFT(B66,1))&amp;"A"</f>
        <v>0912-7LEK-A10,10-ZA</v>
      </c>
      <c r="D66" s="388"/>
      <c r="E66" s="321" t="s">
        <v>196</v>
      </c>
      <c r="F66" s="388"/>
      <c r="G66" s="55"/>
      <c r="H66" s="55"/>
      <c r="I66" s="55">
        <v>25</v>
      </c>
      <c r="J66" s="55">
        <v>25</v>
      </c>
      <c r="K66" s="55"/>
      <c r="L66" s="55"/>
      <c r="M66" s="55"/>
      <c r="N66" s="55"/>
      <c r="O66" s="55">
        <v>2</v>
      </c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</row>
    <row r="67" spans="1:31">
      <c r="A67" s="380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</row>
    <row r="68" spans="1:31" ht="18.75">
      <c r="A68" s="380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297" t="s">
        <v>123</v>
      </c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</row>
    <row r="69" spans="1:31">
      <c r="A69" s="380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</row>
    <row r="70" spans="1:31">
      <c r="A70" s="380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</row>
    <row r="71" spans="1:31">
      <c r="A71" s="380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</row>
    <row r="72" spans="1:31">
      <c r="A72" s="380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</row>
    <row r="73" spans="1:31" ht="18.75">
      <c r="B73" s="297" t="s">
        <v>339</v>
      </c>
      <c r="C73" s="297"/>
      <c r="D73" s="297"/>
      <c r="E73" s="297"/>
      <c r="F73" s="297"/>
      <c r="G73" s="297"/>
      <c r="H73" s="297"/>
      <c r="I73" s="297"/>
      <c r="J73" s="297"/>
      <c r="K73" s="383"/>
      <c r="L73" s="383"/>
      <c r="M73" s="383"/>
      <c r="N73" s="383"/>
      <c r="O73" s="383"/>
      <c r="P73" s="383"/>
      <c r="Q73" s="383"/>
    </row>
    <row r="74" spans="1:31" ht="18.75">
      <c r="B74" s="297" t="s">
        <v>366</v>
      </c>
      <c r="C74" s="297"/>
      <c r="D74" s="297"/>
      <c r="E74" s="297"/>
      <c r="F74" s="297"/>
      <c r="G74" s="297"/>
      <c r="H74" s="297"/>
      <c r="I74" s="297"/>
      <c r="J74" s="297"/>
      <c r="K74" s="383"/>
      <c r="L74" s="383"/>
      <c r="M74" s="383"/>
      <c r="N74" s="383"/>
      <c r="O74" s="383"/>
      <c r="P74" s="383"/>
      <c r="Q74" s="383"/>
    </row>
    <row r="75" spans="1:31" ht="18.75">
      <c r="B75" s="403" t="s">
        <v>470</v>
      </c>
      <c r="C75" s="403"/>
      <c r="D75" s="403"/>
      <c r="E75" s="403"/>
      <c r="F75" s="403"/>
      <c r="G75" s="403"/>
      <c r="H75" s="403"/>
      <c r="I75" s="297"/>
      <c r="J75" s="297"/>
      <c r="K75" s="383"/>
      <c r="L75" s="383"/>
      <c r="M75" s="383"/>
      <c r="N75" s="383"/>
      <c r="O75" s="383"/>
      <c r="P75" s="383"/>
      <c r="Q75" s="383"/>
    </row>
    <row r="76" spans="1:31" ht="18.75">
      <c r="B76" s="403" t="s">
        <v>343</v>
      </c>
      <c r="C76" s="403"/>
      <c r="D76" s="403"/>
      <c r="E76" s="403"/>
      <c r="F76" s="403"/>
      <c r="G76" s="403"/>
      <c r="H76" s="403"/>
      <c r="I76" s="297"/>
      <c r="J76" s="297"/>
      <c r="K76" s="383"/>
      <c r="L76" s="383"/>
      <c r="M76" s="383"/>
      <c r="N76" s="383"/>
      <c r="O76" s="383"/>
      <c r="P76" s="383"/>
      <c r="Q76" s="383"/>
    </row>
    <row r="77" spans="1:31" ht="18.75">
      <c r="B77" s="403" t="s">
        <v>344</v>
      </c>
      <c r="C77" s="403"/>
      <c r="D77" s="403"/>
      <c r="E77" s="403"/>
      <c r="F77" s="403"/>
      <c r="G77" s="403"/>
      <c r="H77" s="403"/>
      <c r="I77" s="297"/>
      <c r="J77" s="297"/>
      <c r="K77" s="383"/>
      <c r="L77" s="383"/>
      <c r="M77" s="383"/>
      <c r="N77" s="383"/>
      <c r="O77" s="383"/>
      <c r="P77" s="383"/>
      <c r="Q77" s="383"/>
    </row>
    <row r="78" spans="1:31" ht="18.75">
      <c r="B78" s="403" t="s">
        <v>368</v>
      </c>
      <c r="C78" s="468"/>
      <c r="D78" s="468"/>
      <c r="E78" s="468"/>
      <c r="F78" s="468"/>
      <c r="G78" s="468"/>
      <c r="H78" s="468"/>
      <c r="I78" s="292"/>
      <c r="J78" s="292"/>
      <c r="K78" s="292"/>
      <c r="L78" s="292"/>
      <c r="M78" s="292"/>
      <c r="N78" s="292"/>
      <c r="O78" s="292"/>
      <c r="P78" s="292"/>
      <c r="Q78" s="292"/>
    </row>
    <row r="79" spans="1:31" ht="18.75">
      <c r="B79" s="297" t="s">
        <v>462</v>
      </c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</row>
    <row r="80" spans="1:31" ht="18.75">
      <c r="B80" s="297" t="s">
        <v>370</v>
      </c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</row>
    <row r="81" spans="2:17" ht="20.25">
      <c r="B81" s="403" t="s">
        <v>371</v>
      </c>
      <c r="C81" s="468"/>
      <c r="D81" s="468"/>
      <c r="E81" s="468"/>
      <c r="F81" s="468"/>
      <c r="G81" s="26"/>
      <c r="H81" s="468"/>
      <c r="I81" s="292"/>
      <c r="J81" s="292"/>
      <c r="K81" s="292"/>
      <c r="L81" s="292"/>
      <c r="M81" s="292"/>
      <c r="N81" s="292"/>
      <c r="O81" s="292"/>
      <c r="P81" s="292"/>
      <c r="Q81" s="292"/>
    </row>
    <row r="82" spans="2:17" ht="18.75">
      <c r="B82" s="297" t="s">
        <v>372</v>
      </c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</row>
    <row r="83" spans="2:17" ht="18.75">
      <c r="B83" s="403" t="s">
        <v>373</v>
      </c>
      <c r="C83" s="468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68"/>
      <c r="Q83" s="468"/>
    </row>
    <row r="84" spans="2:17" ht="18.75">
      <c r="B84" s="297" t="s">
        <v>463</v>
      </c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</row>
    <row r="85" spans="2:17" ht="20.25">
      <c r="B85" s="403" t="s">
        <v>464</v>
      </c>
      <c r="C85" s="468"/>
      <c r="D85" s="468"/>
      <c r="E85" s="468"/>
      <c r="F85" s="468"/>
      <c r="G85" s="26"/>
      <c r="H85" s="468"/>
      <c r="I85" s="292"/>
      <c r="J85" s="292"/>
      <c r="K85" s="292"/>
      <c r="L85" s="292"/>
      <c r="M85" s="292"/>
      <c r="N85" s="292"/>
      <c r="O85" s="292"/>
      <c r="P85" s="292"/>
      <c r="Q85" s="292"/>
    </row>
    <row r="86" spans="2:17" ht="18.75">
      <c r="B86" s="297" t="s">
        <v>465</v>
      </c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</row>
    <row r="87" spans="2:17" ht="18.75">
      <c r="B87" s="403" t="s">
        <v>399</v>
      </c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292"/>
    </row>
    <row r="88" spans="2:17" ht="18.75">
      <c r="B88" s="297" t="s">
        <v>374</v>
      </c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</row>
    <row r="89" spans="2:17" ht="18.75">
      <c r="B89" s="403" t="s">
        <v>375</v>
      </c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</row>
    <row r="90" spans="2:17" ht="18.75">
      <c r="B90" s="403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</row>
    <row r="91" spans="2:17" ht="21">
      <c r="B91" s="292"/>
      <c r="C91" s="339" t="s">
        <v>424</v>
      </c>
      <c r="D91" s="475"/>
      <c r="E91" s="475"/>
      <c r="F91" s="475"/>
      <c r="G91" s="9"/>
      <c r="H91" s="9"/>
      <c r="I91" s="9"/>
      <c r="J91" s="470"/>
      <c r="K91" s="292"/>
      <c r="L91" s="292"/>
      <c r="M91" s="292"/>
      <c r="N91" s="292"/>
      <c r="O91" s="292"/>
      <c r="P91" s="292"/>
      <c r="Q91" s="292"/>
    </row>
    <row r="92" spans="2:17" ht="18.75">
      <c r="B92" s="403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</row>
    <row r="93" spans="2:17" ht="21">
      <c r="B93" s="292"/>
      <c r="C93" s="339"/>
      <c r="D93" s="475"/>
      <c r="E93" s="475"/>
      <c r="F93" s="475"/>
      <c r="G93" s="9"/>
      <c r="H93" s="9"/>
      <c r="I93" s="9"/>
      <c r="J93" s="470"/>
      <c r="K93" s="292"/>
      <c r="L93" s="292"/>
      <c r="M93" s="292"/>
      <c r="N93" s="292"/>
      <c r="O93" s="292"/>
      <c r="P93" s="292"/>
    </row>
  </sheetData>
  <mergeCells count="50"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A38:F38"/>
    <mergeCell ref="Z6:Z9"/>
    <mergeCell ref="AA6:AA9"/>
    <mergeCell ref="T8:U8"/>
    <mergeCell ref="R8:S8"/>
    <mergeCell ref="A34:F34"/>
    <mergeCell ref="A30:F30"/>
    <mergeCell ref="A21:F21"/>
    <mergeCell ref="A36:A37"/>
    <mergeCell ref="B36:C37"/>
    <mergeCell ref="A25:F25"/>
    <mergeCell ref="A22:AE22"/>
    <mergeCell ref="AC6:AC9"/>
    <mergeCell ref="V8:W8"/>
    <mergeCell ref="Y6:Y9"/>
    <mergeCell ref="AB6:AB9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B40:C40"/>
    <mergeCell ref="B41:C41"/>
    <mergeCell ref="B42:C42"/>
    <mergeCell ref="A61:AE61"/>
    <mergeCell ref="A48:AE48"/>
    <mergeCell ref="A46:F46"/>
    <mergeCell ref="A45:F45"/>
    <mergeCell ref="B43:C43"/>
    <mergeCell ref="B44:C44"/>
  </mergeCells>
  <pageMargins left="0.23622047244094491" right="0.23622047244094491" top="0" bottom="0" header="0" footer="0"/>
  <pageSetup paperSize="9" scale="54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zoomScale="86" zoomScaleNormal="86" zoomScaleSheetLayoutView="80" workbookViewId="0">
      <pane ySplit="9" topLeftCell="A10" activePane="bottomLeft" state="frozen"/>
      <selection pane="bottomLeft" activeCell="F18" sqref="F18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10" customFormat="1" ht="36" customHeight="1">
      <c r="A1" s="510" t="s">
        <v>401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42"/>
    </row>
    <row r="2" spans="1:31" s="10" customFormat="1" ht="36" customHeight="1">
      <c r="A2" s="534" t="s">
        <v>356</v>
      </c>
      <c r="B2" s="534"/>
      <c r="C2" s="346" t="s">
        <v>357</v>
      </c>
      <c r="D2" s="332"/>
      <c r="E2" s="347"/>
      <c r="F2" s="347"/>
      <c r="G2" s="347"/>
      <c r="H2" s="535" t="s">
        <v>145</v>
      </c>
      <c r="I2" s="535"/>
      <c r="J2" s="535"/>
      <c r="K2" s="535"/>
      <c r="L2" s="535"/>
      <c r="M2" s="535"/>
      <c r="N2" s="535"/>
      <c r="O2" s="535"/>
      <c r="P2" s="535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1" s="10" customFormat="1" ht="36" customHeight="1">
      <c r="A3" s="536" t="s">
        <v>358</v>
      </c>
      <c r="B3" s="536"/>
      <c r="C3" s="349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</row>
    <row r="4" spans="1:31" s="10" customFormat="1" ht="20.25" customHeight="1">
      <c r="A4" s="572" t="s">
        <v>347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</row>
    <row r="5" spans="1:31" ht="15" customHeight="1">
      <c r="A5" s="554"/>
      <c r="B5" s="555"/>
      <c r="C5" s="555"/>
      <c r="D5" s="555"/>
      <c r="E5" s="555"/>
      <c r="F5" s="556"/>
      <c r="G5" s="557" t="s">
        <v>103</v>
      </c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9"/>
    </row>
    <row r="6" spans="1:31" ht="15" customHeight="1">
      <c r="A6" s="495" t="s">
        <v>0</v>
      </c>
      <c r="B6" s="493" t="s">
        <v>4</v>
      </c>
      <c r="C6" s="493" t="s">
        <v>1</v>
      </c>
      <c r="D6" s="562" t="s">
        <v>8</v>
      </c>
      <c r="E6" s="562"/>
      <c r="F6" s="562"/>
      <c r="G6" s="576" t="s">
        <v>105</v>
      </c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8"/>
      <c r="Y6" s="499" t="s">
        <v>5</v>
      </c>
      <c r="Z6" s="499" t="s">
        <v>89</v>
      </c>
      <c r="AA6" s="499" t="s">
        <v>88</v>
      </c>
      <c r="AB6" s="499" t="s">
        <v>94</v>
      </c>
      <c r="AC6" s="499" t="s">
        <v>90</v>
      </c>
      <c r="AD6" s="499" t="s">
        <v>14</v>
      </c>
      <c r="AE6" s="499" t="s">
        <v>6</v>
      </c>
    </row>
    <row r="7" spans="1:31" ht="18.75" customHeight="1">
      <c r="A7" s="495"/>
      <c r="B7" s="493"/>
      <c r="C7" s="493"/>
      <c r="D7" s="562"/>
      <c r="E7" s="562"/>
      <c r="F7" s="562"/>
      <c r="G7" s="507" t="s">
        <v>97</v>
      </c>
      <c r="H7" s="508"/>
      <c r="I7" s="508"/>
      <c r="J7" s="508"/>
      <c r="K7" s="508"/>
      <c r="L7" s="508"/>
      <c r="M7" s="508"/>
      <c r="N7" s="508"/>
      <c r="O7" s="509"/>
      <c r="P7" s="502" t="s">
        <v>98</v>
      </c>
      <c r="Q7" s="518"/>
      <c r="R7" s="518"/>
      <c r="S7" s="518"/>
      <c r="T7" s="518"/>
      <c r="U7" s="518"/>
      <c r="V7" s="518"/>
      <c r="W7" s="518"/>
      <c r="X7" s="503"/>
      <c r="Y7" s="500"/>
      <c r="Z7" s="500"/>
      <c r="AA7" s="500"/>
      <c r="AB7" s="500"/>
      <c r="AC7" s="500"/>
      <c r="AD7" s="500"/>
      <c r="AE7" s="500"/>
    </row>
    <row r="8" spans="1:31" ht="21.75" customHeight="1">
      <c r="A8" s="496"/>
      <c r="B8" s="491"/>
      <c r="C8" s="491"/>
      <c r="D8" s="491" t="s">
        <v>2</v>
      </c>
      <c r="E8" s="491" t="s">
        <v>13</v>
      </c>
      <c r="F8" s="491" t="s">
        <v>12</v>
      </c>
      <c r="G8" s="507" t="s">
        <v>348</v>
      </c>
      <c r="H8" s="509"/>
      <c r="I8" s="507" t="s">
        <v>349</v>
      </c>
      <c r="J8" s="509"/>
      <c r="K8" s="507" t="s">
        <v>352</v>
      </c>
      <c r="L8" s="509"/>
      <c r="M8" s="507" t="s">
        <v>351</v>
      </c>
      <c r="N8" s="509"/>
      <c r="O8" s="522" t="s">
        <v>7</v>
      </c>
      <c r="P8" s="574" t="s">
        <v>348</v>
      </c>
      <c r="Q8" s="575"/>
      <c r="R8" s="574" t="s">
        <v>349</v>
      </c>
      <c r="S8" s="575"/>
      <c r="T8" s="574" t="s">
        <v>352</v>
      </c>
      <c r="U8" s="575"/>
      <c r="V8" s="574" t="s">
        <v>351</v>
      </c>
      <c r="W8" s="575"/>
      <c r="X8" s="504" t="s">
        <v>7</v>
      </c>
      <c r="Y8" s="500"/>
      <c r="Z8" s="500"/>
      <c r="AA8" s="500"/>
      <c r="AB8" s="500"/>
      <c r="AC8" s="500"/>
      <c r="AD8" s="500"/>
      <c r="AE8" s="500"/>
    </row>
    <row r="9" spans="1:31" ht="45" customHeight="1">
      <c r="A9" s="495"/>
      <c r="B9" s="493"/>
      <c r="C9" s="493"/>
      <c r="D9" s="537"/>
      <c r="E9" s="537"/>
      <c r="F9" s="537"/>
      <c r="G9" s="354" t="s">
        <v>15</v>
      </c>
      <c r="H9" s="354" t="s">
        <v>16</v>
      </c>
      <c r="I9" s="354" t="s">
        <v>15</v>
      </c>
      <c r="J9" s="354" t="s">
        <v>16</v>
      </c>
      <c r="K9" s="354" t="s">
        <v>15</v>
      </c>
      <c r="L9" s="354" t="s">
        <v>16</v>
      </c>
      <c r="M9" s="354" t="s">
        <v>15</v>
      </c>
      <c r="N9" s="354" t="s">
        <v>16</v>
      </c>
      <c r="O9" s="551"/>
      <c r="P9" s="355" t="s">
        <v>15</v>
      </c>
      <c r="Q9" s="355" t="s">
        <v>16</v>
      </c>
      <c r="R9" s="355" t="s">
        <v>15</v>
      </c>
      <c r="S9" s="355" t="s">
        <v>16</v>
      </c>
      <c r="T9" s="355" t="s">
        <v>15</v>
      </c>
      <c r="U9" s="355" t="s">
        <v>16</v>
      </c>
      <c r="V9" s="355" t="s">
        <v>15</v>
      </c>
      <c r="W9" s="355" t="s">
        <v>16</v>
      </c>
      <c r="X9" s="563"/>
      <c r="Y9" s="538"/>
      <c r="Z9" s="538"/>
      <c r="AA9" s="538"/>
      <c r="AB9" s="538"/>
      <c r="AC9" s="538"/>
      <c r="AD9" s="538"/>
      <c r="AE9" s="538"/>
    </row>
    <row r="10" spans="1:31" ht="15.75">
      <c r="A10" s="315" t="s">
        <v>417</v>
      </c>
      <c r="B10" s="316"/>
      <c r="C10" s="317"/>
      <c r="D10" s="316"/>
      <c r="E10" s="361"/>
      <c r="F10" s="316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62"/>
    </row>
    <row r="11" spans="1:31" ht="22.5" customHeight="1">
      <c r="A11" s="309">
        <v>3.5</v>
      </c>
      <c r="B11" s="12" t="s">
        <v>45</v>
      </c>
      <c r="C11" s="310" t="str">
        <f>RAZEM!C24</f>
        <v>0912-7LEK-C3.5-P</v>
      </c>
      <c r="D11" s="311">
        <v>6</v>
      </c>
      <c r="E11" s="312" t="s">
        <v>265</v>
      </c>
      <c r="F11" s="312"/>
      <c r="G11" s="55">
        <v>20</v>
      </c>
      <c r="H11" s="55">
        <v>30</v>
      </c>
      <c r="I11" s="55">
        <v>45</v>
      </c>
      <c r="J11" s="55">
        <v>30</v>
      </c>
      <c r="K11" s="55"/>
      <c r="L11" s="55"/>
      <c r="M11" s="55"/>
      <c r="N11" s="55"/>
      <c r="O11" s="55">
        <v>5</v>
      </c>
      <c r="P11" s="56">
        <v>20</v>
      </c>
      <c r="Q11" s="56">
        <v>55</v>
      </c>
      <c r="R11" s="56">
        <v>45</v>
      </c>
      <c r="S11" s="56">
        <v>30</v>
      </c>
      <c r="T11" s="56"/>
      <c r="U11" s="56"/>
      <c r="V11" s="56"/>
      <c r="W11" s="56"/>
      <c r="X11" s="56">
        <v>6</v>
      </c>
      <c r="Y11" s="43">
        <f>SUM(Z11:AC11)</f>
        <v>130</v>
      </c>
      <c r="Z11" s="43">
        <f>G11+P11</f>
        <v>40</v>
      </c>
      <c r="AA11" s="43">
        <f>I11+R11</f>
        <v>90</v>
      </c>
      <c r="AB11" s="43">
        <f>SUM(K11,T11)</f>
        <v>0</v>
      </c>
      <c r="AC11" s="43">
        <f>SUM(M11,V11)</f>
        <v>0</v>
      </c>
      <c r="AD11" s="43">
        <f>SUM(G11:N11,P11:W11)</f>
        <v>275</v>
      </c>
      <c r="AE11" s="43">
        <v>11</v>
      </c>
    </row>
    <row r="12" spans="1:31" ht="22.5" customHeight="1">
      <c r="A12" s="319">
        <v>3.6</v>
      </c>
      <c r="B12" s="12" t="s">
        <v>46</v>
      </c>
      <c r="C12" s="310" t="s">
        <v>337</v>
      </c>
      <c r="D12" s="311">
        <v>6</v>
      </c>
      <c r="E12" s="312" t="s">
        <v>265</v>
      </c>
      <c r="F12" s="312"/>
      <c r="G12" s="55">
        <v>20</v>
      </c>
      <c r="H12" s="55">
        <v>55</v>
      </c>
      <c r="I12" s="55">
        <v>40</v>
      </c>
      <c r="J12" s="55">
        <v>35</v>
      </c>
      <c r="K12" s="55"/>
      <c r="L12" s="55"/>
      <c r="M12" s="55"/>
      <c r="N12" s="55"/>
      <c r="O12" s="55">
        <v>6</v>
      </c>
      <c r="P12" s="56">
        <v>25</v>
      </c>
      <c r="Q12" s="56">
        <v>50</v>
      </c>
      <c r="R12" s="56">
        <v>40</v>
      </c>
      <c r="S12" s="56">
        <v>35</v>
      </c>
      <c r="T12" s="56"/>
      <c r="U12" s="56"/>
      <c r="V12" s="56"/>
      <c r="W12" s="56"/>
      <c r="X12" s="56">
        <v>6</v>
      </c>
      <c r="Y12" s="43">
        <f>SUM(Z12:AC12)</f>
        <v>125</v>
      </c>
      <c r="Z12" s="43">
        <f>SUM(G12,P12)</f>
        <v>45</v>
      </c>
      <c r="AA12" s="43">
        <f>SUM(I12,R12)</f>
        <v>80</v>
      </c>
      <c r="AB12" s="43">
        <f>SUM(K12,T12)</f>
        <v>0</v>
      </c>
      <c r="AC12" s="43">
        <f>SUM(M12,V12)</f>
        <v>0</v>
      </c>
      <c r="AD12" s="43">
        <f>SUM(G12:N12,P12:W12)</f>
        <v>300</v>
      </c>
      <c r="AE12" s="43">
        <f>SUM(O12,X12)</f>
        <v>12</v>
      </c>
    </row>
    <row r="13" spans="1:31" s="9" customFormat="1" ht="24.75" customHeight="1">
      <c r="A13" s="319">
        <v>3.8</v>
      </c>
      <c r="B13" s="40" t="s">
        <v>40</v>
      </c>
      <c r="C13" s="320" t="s">
        <v>336</v>
      </c>
      <c r="D13" s="311">
        <v>6</v>
      </c>
      <c r="E13" s="312" t="s">
        <v>265</v>
      </c>
      <c r="F13" s="312"/>
      <c r="G13" s="55">
        <v>15</v>
      </c>
      <c r="H13" s="55">
        <v>10</v>
      </c>
      <c r="I13" s="55">
        <v>20</v>
      </c>
      <c r="J13" s="55">
        <v>30</v>
      </c>
      <c r="K13" s="55"/>
      <c r="L13" s="55"/>
      <c r="M13" s="55"/>
      <c r="N13" s="55"/>
      <c r="O13" s="55">
        <v>3</v>
      </c>
      <c r="P13" s="56">
        <v>15</v>
      </c>
      <c r="Q13" s="56">
        <v>35</v>
      </c>
      <c r="R13" s="56">
        <v>20</v>
      </c>
      <c r="S13" s="56">
        <v>30</v>
      </c>
      <c r="T13" s="56"/>
      <c r="U13" s="56"/>
      <c r="V13" s="56"/>
      <c r="W13" s="56"/>
      <c r="X13" s="56">
        <v>4</v>
      </c>
      <c r="Y13" s="43">
        <f>SUM(Z13:AC13)</f>
        <v>70</v>
      </c>
      <c r="Z13" s="43">
        <f>SUM(G13,P13)</f>
        <v>30</v>
      </c>
      <c r="AA13" s="43">
        <f>SUM(I13,R13)</f>
        <v>40</v>
      </c>
      <c r="AB13" s="43">
        <f>SUM(K13,T13)</f>
        <v>0</v>
      </c>
      <c r="AC13" s="43">
        <f>SUM(M13,V13)</f>
        <v>0</v>
      </c>
      <c r="AD13" s="43">
        <f>SUM(G13:N13,P13:W13)</f>
        <v>175</v>
      </c>
      <c r="AE13" s="43">
        <f>SUM(O13,X13)</f>
        <v>7</v>
      </c>
    </row>
    <row r="14" spans="1:31" ht="15.75">
      <c r="A14" s="486" t="s">
        <v>9</v>
      </c>
      <c r="B14" s="487"/>
      <c r="C14" s="487"/>
      <c r="D14" s="487"/>
      <c r="E14" s="487"/>
      <c r="F14" s="488"/>
      <c r="G14" s="64">
        <f>SUM(G11:G13)</f>
        <v>55</v>
      </c>
      <c r="H14" s="64">
        <f>SUM(H11:H13)</f>
        <v>95</v>
      </c>
      <c r="I14" s="64">
        <f>SUM(I11:I13)</f>
        <v>105</v>
      </c>
      <c r="J14" s="64">
        <f>SUM(J11:J13)</f>
        <v>95</v>
      </c>
      <c r="K14" s="64">
        <f t="shared" ref="K14:AD14" si="0">SUM(K11:K12)</f>
        <v>0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>SUM(O11:O13)</f>
        <v>14</v>
      </c>
      <c r="P14" s="64">
        <f>SUM(P11:P13)</f>
        <v>60</v>
      </c>
      <c r="Q14" s="64">
        <f>SUM(Q11:Q13)</f>
        <v>140</v>
      </c>
      <c r="R14" s="64">
        <f>SUM(R11:R13)</f>
        <v>105</v>
      </c>
      <c r="S14" s="64">
        <f>SUM(S11:S13)</f>
        <v>95</v>
      </c>
      <c r="T14" s="64">
        <f t="shared" si="0"/>
        <v>0</v>
      </c>
      <c r="U14" s="64">
        <f t="shared" si="0"/>
        <v>0</v>
      </c>
      <c r="V14" s="64">
        <f t="shared" si="0"/>
        <v>0</v>
      </c>
      <c r="W14" s="64">
        <f t="shared" si="0"/>
        <v>0</v>
      </c>
      <c r="X14" s="64">
        <f>SUM(X11:X13)</f>
        <v>16</v>
      </c>
      <c r="Y14" s="64">
        <f t="shared" si="0"/>
        <v>255</v>
      </c>
      <c r="Z14" s="64">
        <f t="shared" si="0"/>
        <v>85</v>
      </c>
      <c r="AA14" s="64">
        <f t="shared" si="0"/>
        <v>170</v>
      </c>
      <c r="AB14" s="64">
        <f t="shared" si="0"/>
        <v>0</v>
      </c>
      <c r="AC14" s="64">
        <f t="shared" si="0"/>
        <v>0</v>
      </c>
      <c r="AD14" s="64">
        <f t="shared" si="0"/>
        <v>575</v>
      </c>
      <c r="AE14" s="64">
        <f>SUM(AE11:AE13)</f>
        <v>30</v>
      </c>
    </row>
    <row r="15" spans="1:31" ht="15.75">
      <c r="A15" s="315" t="s">
        <v>419</v>
      </c>
      <c r="B15" s="316"/>
      <c r="C15" s="317"/>
      <c r="D15" s="316"/>
      <c r="E15" s="361"/>
      <c r="F15" s="316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62"/>
    </row>
    <row r="16" spans="1:31" ht="33.75" customHeight="1">
      <c r="A16" s="54">
        <v>5.0999999999999996</v>
      </c>
      <c r="B16" s="39" t="s">
        <v>51</v>
      </c>
      <c r="C16" s="310" t="str">
        <f>RAZEM!C35</f>
        <v>0912-7LEK-C5.1-P</v>
      </c>
      <c r="D16" s="311">
        <v>11</v>
      </c>
      <c r="E16" s="321" t="s">
        <v>450</v>
      </c>
      <c r="F16" s="312"/>
      <c r="G16" s="55">
        <v>15</v>
      </c>
      <c r="H16" s="55">
        <v>10</v>
      </c>
      <c r="I16" s="55">
        <v>15</v>
      </c>
      <c r="J16" s="55">
        <v>10</v>
      </c>
      <c r="K16" s="55">
        <v>25</v>
      </c>
      <c r="L16" s="55"/>
      <c r="M16" s="55"/>
      <c r="N16" s="55"/>
      <c r="O16" s="55">
        <v>3</v>
      </c>
      <c r="P16" s="56"/>
      <c r="Q16" s="56"/>
      <c r="R16" s="56"/>
      <c r="S16" s="56"/>
      <c r="T16" s="56"/>
      <c r="U16" s="56"/>
      <c r="V16" s="56"/>
      <c r="W16" s="56"/>
      <c r="X16" s="56"/>
      <c r="Y16" s="43">
        <f>SUM(Z16:AC16)</f>
        <v>55</v>
      </c>
      <c r="Z16" s="43">
        <f>SUM(G16,P16)</f>
        <v>15</v>
      </c>
      <c r="AA16" s="43">
        <f>SUM(I16,R16)</f>
        <v>15</v>
      </c>
      <c r="AB16" s="43">
        <f>SUM(K16,T16)</f>
        <v>25</v>
      </c>
      <c r="AC16" s="43">
        <f>SUM(M16,V16)</f>
        <v>0</v>
      </c>
      <c r="AD16" s="43">
        <f>SUM(G16:N16,P16:W16)</f>
        <v>75</v>
      </c>
      <c r="AE16" s="43">
        <f>SUM(O16,X16)</f>
        <v>3</v>
      </c>
    </row>
    <row r="17" spans="1:31" ht="33.75" customHeight="1">
      <c r="A17" s="54">
        <v>5.2</v>
      </c>
      <c r="B17" s="39" t="s">
        <v>80</v>
      </c>
      <c r="C17" s="310" t="str">
        <f>RAZEM!C36</f>
        <v>0912-7LEK-C5.2-CW</v>
      </c>
      <c r="D17" s="311">
        <v>11</v>
      </c>
      <c r="E17" s="321" t="s">
        <v>475</v>
      </c>
      <c r="F17" s="312"/>
      <c r="G17" s="55"/>
      <c r="H17" s="55"/>
      <c r="I17" s="55"/>
      <c r="J17" s="55"/>
      <c r="K17" s="55"/>
      <c r="L17" s="55"/>
      <c r="M17" s="55"/>
      <c r="N17" s="55"/>
      <c r="O17" s="55"/>
      <c r="P17" s="56">
        <v>15</v>
      </c>
      <c r="Q17" s="56">
        <v>10</v>
      </c>
      <c r="R17" s="56">
        <v>10</v>
      </c>
      <c r="S17" s="56">
        <v>0</v>
      </c>
      <c r="T17" s="56">
        <v>15</v>
      </c>
      <c r="U17" s="56"/>
      <c r="V17" s="56"/>
      <c r="W17" s="56"/>
      <c r="X17" s="56">
        <v>2</v>
      </c>
      <c r="Y17" s="43">
        <f t="shared" ref="Y17:Y20" si="1">SUM(Z17:AC17)</f>
        <v>40</v>
      </c>
      <c r="Z17" s="43">
        <f>G17+P17</f>
        <v>15</v>
      </c>
      <c r="AA17" s="43">
        <f>I17+R17</f>
        <v>10</v>
      </c>
      <c r="AB17" s="43">
        <f>K17+T17</f>
        <v>15</v>
      </c>
      <c r="AC17" s="43">
        <f>M17+V17</f>
        <v>0</v>
      </c>
      <c r="AD17" s="43">
        <f>SUM(G17:N17,P17:W17)</f>
        <v>50</v>
      </c>
      <c r="AE17" s="43">
        <f>O17+X17</f>
        <v>2</v>
      </c>
    </row>
    <row r="18" spans="1:31" ht="39" customHeight="1">
      <c r="A18" s="54" t="s">
        <v>320</v>
      </c>
      <c r="B18" s="39" t="s">
        <v>321</v>
      </c>
      <c r="C18" s="310" t="str">
        <f>RAZEM!C36</f>
        <v>0912-7LEK-C5.2-CW</v>
      </c>
      <c r="D18" s="311">
        <v>11</v>
      </c>
      <c r="E18" s="321" t="s">
        <v>142</v>
      </c>
      <c r="F18" s="312"/>
      <c r="G18" s="55">
        <v>15</v>
      </c>
      <c r="H18" s="55">
        <v>10</v>
      </c>
      <c r="I18" s="55">
        <v>15</v>
      </c>
      <c r="J18" s="55">
        <v>10</v>
      </c>
      <c r="K18" s="55">
        <v>25</v>
      </c>
      <c r="L18" s="55"/>
      <c r="M18" s="55"/>
      <c r="N18" s="55"/>
      <c r="O18" s="55">
        <v>3</v>
      </c>
      <c r="P18" s="56"/>
      <c r="Q18" s="56"/>
      <c r="R18" s="56"/>
      <c r="S18" s="56"/>
      <c r="T18" s="56"/>
      <c r="U18" s="56"/>
      <c r="V18" s="56"/>
      <c r="W18" s="56"/>
      <c r="X18" s="56"/>
      <c r="Y18" s="43">
        <f t="shared" si="1"/>
        <v>55</v>
      </c>
      <c r="Z18" s="43">
        <f>SUM(G18,P18)</f>
        <v>15</v>
      </c>
      <c r="AA18" s="43">
        <f>SUM(I18,R18)</f>
        <v>15</v>
      </c>
      <c r="AB18" s="43">
        <f>SUM(K18,T18)</f>
        <v>25</v>
      </c>
      <c r="AC18" s="43">
        <f>SUM(M18,V18)</f>
        <v>0</v>
      </c>
      <c r="AD18" s="43">
        <f>SUM(G18:N18,P18:W18)</f>
        <v>75</v>
      </c>
      <c r="AE18" s="43">
        <f>SUM(O18,X18)</f>
        <v>3</v>
      </c>
    </row>
    <row r="19" spans="1:31" ht="31.5" customHeight="1">
      <c r="A19" s="54">
        <v>5.8</v>
      </c>
      <c r="B19" s="39" t="s">
        <v>57</v>
      </c>
      <c r="C19" s="310" t="str">
        <f>RAZEM!C42</f>
        <v>0912-7LEK-C5.8-DiW</v>
      </c>
      <c r="D19" s="311">
        <v>6</v>
      </c>
      <c r="E19" s="312">
        <v>6</v>
      </c>
      <c r="F19" s="312"/>
      <c r="G19" s="55"/>
      <c r="H19" s="55"/>
      <c r="I19" s="55"/>
      <c r="J19" s="55"/>
      <c r="K19" s="55"/>
      <c r="L19" s="55"/>
      <c r="M19" s="55"/>
      <c r="N19" s="55"/>
      <c r="O19" s="55"/>
      <c r="P19" s="56">
        <v>15</v>
      </c>
      <c r="Q19" s="56">
        <v>10</v>
      </c>
      <c r="R19" s="56">
        <v>15</v>
      </c>
      <c r="S19" s="56">
        <v>10</v>
      </c>
      <c r="T19" s="56">
        <v>25</v>
      </c>
      <c r="U19" s="56"/>
      <c r="V19" s="56"/>
      <c r="W19" s="56"/>
      <c r="X19" s="56">
        <v>3</v>
      </c>
      <c r="Y19" s="43">
        <f t="shared" si="1"/>
        <v>55</v>
      </c>
      <c r="Z19" s="43">
        <f>SUM(G19,P19)</f>
        <v>15</v>
      </c>
      <c r="AA19" s="43">
        <f>SUM(I19,R19)</f>
        <v>15</v>
      </c>
      <c r="AB19" s="43">
        <f>SUM(K19,T19)</f>
        <v>25</v>
      </c>
      <c r="AC19" s="43">
        <f>SUM(M19,V19)</f>
        <v>0</v>
      </c>
      <c r="AD19" s="43">
        <f>SUM(G19:N19,P19:W19)</f>
        <v>75</v>
      </c>
      <c r="AE19" s="43">
        <f>SUM(O19,X19)</f>
        <v>3</v>
      </c>
    </row>
    <row r="20" spans="1:31" ht="27.75" customHeight="1">
      <c r="A20" s="389">
        <v>5.1100000000000003</v>
      </c>
      <c r="B20" s="39" t="s">
        <v>60</v>
      </c>
      <c r="C20" s="310" t="str">
        <f>RAZEM!C45</f>
        <v>0912-7LEK-C5.11-DL</v>
      </c>
      <c r="D20" s="311">
        <v>5</v>
      </c>
      <c r="E20" s="312">
        <v>5</v>
      </c>
      <c r="F20" s="312"/>
      <c r="G20" s="55">
        <v>15</v>
      </c>
      <c r="H20" s="55">
        <v>10</v>
      </c>
      <c r="I20" s="55">
        <v>40</v>
      </c>
      <c r="J20" s="55">
        <v>35</v>
      </c>
      <c r="K20" s="55"/>
      <c r="L20" s="55"/>
      <c r="M20" s="55"/>
      <c r="N20" s="55"/>
      <c r="O20" s="55">
        <v>4</v>
      </c>
      <c r="P20" s="56"/>
      <c r="Q20" s="56"/>
      <c r="R20" s="56"/>
      <c r="S20" s="56"/>
      <c r="T20" s="56"/>
      <c r="U20" s="56"/>
      <c r="V20" s="56"/>
      <c r="W20" s="56"/>
      <c r="X20" s="56"/>
      <c r="Y20" s="43">
        <f t="shared" si="1"/>
        <v>55</v>
      </c>
      <c r="Z20" s="43">
        <f>SUM(G20,P20)</f>
        <v>15</v>
      </c>
      <c r="AA20" s="43">
        <f>SUM(I20,R20)</f>
        <v>40</v>
      </c>
      <c r="AB20" s="43">
        <f>SUM(K20,T20)</f>
        <v>0</v>
      </c>
      <c r="AC20" s="43">
        <f>SUM(M20,V20)</f>
        <v>0</v>
      </c>
      <c r="AD20" s="43">
        <f>SUM(G20:N20,P20:W20)</f>
        <v>100</v>
      </c>
      <c r="AE20" s="43">
        <f>SUM(O20,X20)</f>
        <v>4</v>
      </c>
    </row>
    <row r="21" spans="1:31" ht="15.75">
      <c r="A21" s="486" t="s">
        <v>9</v>
      </c>
      <c r="B21" s="487"/>
      <c r="C21" s="487"/>
      <c r="D21" s="487"/>
      <c r="E21" s="487"/>
      <c r="F21" s="488"/>
      <c r="G21" s="64">
        <f t="shared" ref="G21:X21" si="2">SUM(G16:G20)</f>
        <v>45</v>
      </c>
      <c r="H21" s="64">
        <f t="shared" si="2"/>
        <v>30</v>
      </c>
      <c r="I21" s="64">
        <f t="shared" si="2"/>
        <v>70</v>
      </c>
      <c r="J21" s="64">
        <f t="shared" si="2"/>
        <v>55</v>
      </c>
      <c r="K21" s="64">
        <f t="shared" si="2"/>
        <v>50</v>
      </c>
      <c r="L21" s="64">
        <f t="shared" si="2"/>
        <v>0</v>
      </c>
      <c r="M21" s="64">
        <f t="shared" si="2"/>
        <v>0</v>
      </c>
      <c r="N21" s="64">
        <f t="shared" si="2"/>
        <v>0</v>
      </c>
      <c r="O21" s="64">
        <f t="shared" si="2"/>
        <v>10</v>
      </c>
      <c r="P21" s="64">
        <f t="shared" si="2"/>
        <v>30</v>
      </c>
      <c r="Q21" s="64">
        <f t="shared" si="2"/>
        <v>20</v>
      </c>
      <c r="R21" s="64">
        <f t="shared" si="2"/>
        <v>25</v>
      </c>
      <c r="S21" s="64">
        <f t="shared" si="2"/>
        <v>10</v>
      </c>
      <c r="T21" s="64">
        <f t="shared" si="2"/>
        <v>40</v>
      </c>
      <c r="U21" s="64">
        <f t="shared" si="2"/>
        <v>0</v>
      </c>
      <c r="V21" s="64">
        <f t="shared" si="2"/>
        <v>0</v>
      </c>
      <c r="W21" s="64">
        <f t="shared" si="2"/>
        <v>0</v>
      </c>
      <c r="X21" s="64">
        <f t="shared" si="2"/>
        <v>5</v>
      </c>
      <c r="Y21" s="64">
        <f>SUM(Y16:Y20)</f>
        <v>260</v>
      </c>
      <c r="Z21" s="64">
        <f t="shared" ref="Z21:AE21" si="3">SUM(Z16:Z20)</f>
        <v>75</v>
      </c>
      <c r="AA21" s="64">
        <f t="shared" si="3"/>
        <v>95</v>
      </c>
      <c r="AB21" s="64">
        <f t="shared" si="3"/>
        <v>90</v>
      </c>
      <c r="AC21" s="64">
        <f t="shared" si="3"/>
        <v>0</v>
      </c>
      <c r="AD21" s="64">
        <f t="shared" si="3"/>
        <v>375</v>
      </c>
      <c r="AE21" s="64">
        <f t="shared" si="3"/>
        <v>15</v>
      </c>
    </row>
    <row r="22" spans="1:31" ht="15.75">
      <c r="A22" s="315" t="s">
        <v>420</v>
      </c>
      <c r="B22" s="316"/>
      <c r="C22" s="317"/>
      <c r="D22" s="316"/>
      <c r="E22" s="316"/>
      <c r="F22" s="316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62"/>
    </row>
    <row r="23" spans="1:31" ht="30.75" customHeight="1">
      <c r="A23" s="54">
        <v>6.2</v>
      </c>
      <c r="B23" s="39" t="s">
        <v>63</v>
      </c>
      <c r="C23" s="310" t="str">
        <f>"0912-7LEK-C"&amp;A23&amp;"-"&amp;UPPER(LEFT(B23,1))</f>
        <v>0912-7LEK-C6,2-C</v>
      </c>
      <c r="D23" s="311">
        <v>12</v>
      </c>
      <c r="E23" s="321" t="s">
        <v>449</v>
      </c>
      <c r="F23" s="312"/>
      <c r="G23" s="55">
        <v>15</v>
      </c>
      <c r="H23" s="55">
        <v>10</v>
      </c>
      <c r="I23" s="55">
        <v>15</v>
      </c>
      <c r="J23" s="55">
        <v>10</v>
      </c>
      <c r="K23" s="55"/>
      <c r="L23" s="55"/>
      <c r="M23" s="55"/>
      <c r="N23" s="55"/>
      <c r="O23" s="55">
        <v>2</v>
      </c>
      <c r="P23" s="56">
        <v>15</v>
      </c>
      <c r="Q23" s="56">
        <v>10</v>
      </c>
      <c r="R23" s="56">
        <v>15</v>
      </c>
      <c r="S23" s="56">
        <v>10</v>
      </c>
      <c r="T23" s="56"/>
      <c r="U23" s="56"/>
      <c r="V23" s="56"/>
      <c r="W23" s="56"/>
      <c r="X23" s="56">
        <v>2</v>
      </c>
      <c r="Y23" s="43">
        <f>SUM(Z23:AC23)</f>
        <v>60</v>
      </c>
      <c r="Z23" s="43">
        <f>SUM(G23,P23)</f>
        <v>30</v>
      </c>
      <c r="AA23" s="43">
        <f>SUM(I23,R23)</f>
        <v>30</v>
      </c>
      <c r="AB23" s="43">
        <f>SUM(K23,T23)</f>
        <v>0</v>
      </c>
      <c r="AC23" s="43">
        <f>SUM(M23,V23)</f>
        <v>0</v>
      </c>
      <c r="AD23" s="43">
        <f>SUM(G23:N23,P23:W23)</f>
        <v>100</v>
      </c>
      <c r="AE23" s="43">
        <f>SUM(O23,X23)</f>
        <v>4</v>
      </c>
    </row>
    <row r="24" spans="1:31" ht="15.75">
      <c r="A24" s="486" t="s">
        <v>9</v>
      </c>
      <c r="B24" s="487"/>
      <c r="C24" s="487"/>
      <c r="D24" s="487"/>
      <c r="E24" s="487"/>
      <c r="F24" s="488"/>
      <c r="G24" s="64">
        <f t="shared" ref="G24:X24" si="4">SUM(G23:G23)</f>
        <v>15</v>
      </c>
      <c r="H24" s="64">
        <f t="shared" si="4"/>
        <v>10</v>
      </c>
      <c r="I24" s="64">
        <f t="shared" si="4"/>
        <v>15</v>
      </c>
      <c r="J24" s="64">
        <f t="shared" si="4"/>
        <v>10</v>
      </c>
      <c r="K24" s="64">
        <f t="shared" si="4"/>
        <v>0</v>
      </c>
      <c r="L24" s="64">
        <f t="shared" si="4"/>
        <v>0</v>
      </c>
      <c r="M24" s="64">
        <f t="shared" si="4"/>
        <v>0</v>
      </c>
      <c r="N24" s="64">
        <f t="shared" si="4"/>
        <v>0</v>
      </c>
      <c r="O24" s="64">
        <f t="shared" si="4"/>
        <v>2</v>
      </c>
      <c r="P24" s="64">
        <f t="shared" si="4"/>
        <v>15</v>
      </c>
      <c r="Q24" s="64">
        <f t="shared" si="4"/>
        <v>10</v>
      </c>
      <c r="R24" s="64">
        <f t="shared" si="4"/>
        <v>15</v>
      </c>
      <c r="S24" s="64">
        <f t="shared" si="4"/>
        <v>10</v>
      </c>
      <c r="T24" s="64">
        <f t="shared" si="4"/>
        <v>0</v>
      </c>
      <c r="U24" s="64">
        <f t="shared" si="4"/>
        <v>0</v>
      </c>
      <c r="V24" s="64">
        <f t="shared" si="4"/>
        <v>0</v>
      </c>
      <c r="W24" s="64">
        <f t="shared" si="4"/>
        <v>0</v>
      </c>
      <c r="X24" s="64">
        <f t="shared" si="4"/>
        <v>2</v>
      </c>
      <c r="Y24" s="64">
        <f>SUM(Y23:Y23)</f>
        <v>60</v>
      </c>
      <c r="Z24" s="64">
        <f t="shared" ref="Z24:AE24" si="5">SUM(Z23:Z23)</f>
        <v>30</v>
      </c>
      <c r="AA24" s="64">
        <f t="shared" si="5"/>
        <v>30</v>
      </c>
      <c r="AB24" s="64">
        <f t="shared" si="5"/>
        <v>0</v>
      </c>
      <c r="AC24" s="64">
        <f t="shared" si="5"/>
        <v>0</v>
      </c>
      <c r="AD24" s="64">
        <f t="shared" si="5"/>
        <v>100</v>
      </c>
      <c r="AE24" s="64">
        <f t="shared" si="5"/>
        <v>4</v>
      </c>
    </row>
    <row r="25" spans="1:31" ht="15.75">
      <c r="A25" s="315" t="s">
        <v>410</v>
      </c>
      <c r="B25" s="316"/>
      <c r="C25" s="317"/>
      <c r="D25" s="316"/>
      <c r="E25" s="316"/>
      <c r="F25" s="316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62"/>
    </row>
    <row r="26" spans="1:31" ht="25.5" customHeight="1">
      <c r="A26" s="54">
        <v>9.4</v>
      </c>
      <c r="B26" s="322" t="s">
        <v>80</v>
      </c>
      <c r="C26" s="310" t="str">
        <f>"0912-7LEK-C"&amp;A26&amp;"-"&amp;UPPER(LEFT(B26,1))</f>
        <v>0912-7LEK-C9,4-C</v>
      </c>
      <c r="D26" s="311"/>
      <c r="E26" s="312">
        <v>6</v>
      </c>
      <c r="F26" s="312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>
        <v>120</v>
      </c>
      <c r="U26" s="56"/>
      <c r="V26" s="56"/>
      <c r="W26" s="56"/>
      <c r="X26" s="56">
        <v>4</v>
      </c>
      <c r="Y26" s="43">
        <f>SUM(Z26:AC26)</f>
        <v>120</v>
      </c>
      <c r="Z26" s="43">
        <f>SUM(G26,P26)</f>
        <v>0</v>
      </c>
      <c r="AA26" s="43">
        <f>SUM(I26,R26)</f>
        <v>0</v>
      </c>
      <c r="AB26" s="43">
        <f>SUM(K26,T26)</f>
        <v>120</v>
      </c>
      <c r="AC26" s="43">
        <f>SUM(M26,V26)</f>
        <v>0</v>
      </c>
      <c r="AD26" s="43">
        <f>SUM(G26:N26,P26:W26)</f>
        <v>120</v>
      </c>
      <c r="AE26" s="43">
        <f>SUM(O26,X26)</f>
        <v>4</v>
      </c>
    </row>
    <row r="27" spans="1:31" ht="15.75">
      <c r="A27" s="486" t="s">
        <v>9</v>
      </c>
      <c r="B27" s="487"/>
      <c r="C27" s="487"/>
      <c r="D27" s="487"/>
      <c r="E27" s="487"/>
      <c r="F27" s="488"/>
      <c r="G27" s="64">
        <f t="shared" ref="G27:X27" si="6">SUM(G26:G26)</f>
        <v>0</v>
      </c>
      <c r="H27" s="64">
        <f t="shared" si="6"/>
        <v>0</v>
      </c>
      <c r="I27" s="64">
        <f t="shared" si="6"/>
        <v>0</v>
      </c>
      <c r="J27" s="64">
        <f t="shared" si="6"/>
        <v>0</v>
      </c>
      <c r="K27" s="64">
        <f t="shared" si="6"/>
        <v>0</v>
      </c>
      <c r="L27" s="64">
        <f t="shared" si="6"/>
        <v>0</v>
      </c>
      <c r="M27" s="64">
        <f t="shared" si="6"/>
        <v>0</v>
      </c>
      <c r="N27" s="64">
        <f t="shared" si="6"/>
        <v>0</v>
      </c>
      <c r="O27" s="64">
        <f t="shared" si="6"/>
        <v>0</v>
      </c>
      <c r="P27" s="64">
        <f t="shared" si="6"/>
        <v>0</v>
      </c>
      <c r="Q27" s="64">
        <f t="shared" si="6"/>
        <v>0</v>
      </c>
      <c r="R27" s="64">
        <f t="shared" si="6"/>
        <v>0</v>
      </c>
      <c r="S27" s="64">
        <f t="shared" si="6"/>
        <v>0</v>
      </c>
      <c r="T27" s="64">
        <f t="shared" si="6"/>
        <v>120</v>
      </c>
      <c r="U27" s="64">
        <f t="shared" si="6"/>
        <v>0</v>
      </c>
      <c r="V27" s="64">
        <f t="shared" si="6"/>
        <v>0</v>
      </c>
      <c r="W27" s="64">
        <f t="shared" si="6"/>
        <v>0</v>
      </c>
      <c r="X27" s="64">
        <f t="shared" si="6"/>
        <v>4</v>
      </c>
      <c r="Y27" s="64">
        <f>SUM(Y26:Y26)</f>
        <v>120</v>
      </c>
      <c r="Z27" s="64">
        <f t="shared" ref="Z27:AE27" si="7">SUM(Z26:Z26)</f>
        <v>0</v>
      </c>
      <c r="AA27" s="64">
        <f t="shared" si="7"/>
        <v>0</v>
      </c>
      <c r="AB27" s="64">
        <f t="shared" si="7"/>
        <v>120</v>
      </c>
      <c r="AC27" s="64">
        <f t="shared" si="7"/>
        <v>0</v>
      </c>
      <c r="AD27" s="64">
        <f t="shared" si="7"/>
        <v>120</v>
      </c>
      <c r="AE27" s="64">
        <f t="shared" si="7"/>
        <v>4</v>
      </c>
    </row>
    <row r="28" spans="1:31" ht="15.75" hidden="1">
      <c r="A28" s="315" t="s">
        <v>306</v>
      </c>
      <c r="B28" s="316"/>
      <c r="C28" s="317"/>
      <c r="D28" s="361"/>
      <c r="E28" s="361"/>
      <c r="F28" s="361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62"/>
    </row>
    <row r="29" spans="1:31" ht="26.25" hidden="1" customHeight="1">
      <c r="A29" s="54">
        <v>11.3</v>
      </c>
      <c r="B29" s="18" t="s">
        <v>108</v>
      </c>
      <c r="C29" s="310" t="str">
        <f>"0912-7LEK-A"&amp;A29&amp;"-"&amp;UPPER(LEFT(B29,1))&amp;"F"</f>
        <v>0912-7LEK-A11,3-WF</v>
      </c>
      <c r="D29" s="311"/>
      <c r="E29" s="390"/>
      <c r="F29" s="321" t="s">
        <v>121</v>
      </c>
      <c r="G29" s="55"/>
      <c r="H29" s="55"/>
      <c r="I29" s="55">
        <v>0</v>
      </c>
      <c r="J29" s="55"/>
      <c r="K29" s="55"/>
      <c r="L29" s="55"/>
      <c r="M29" s="55"/>
      <c r="N29" s="55"/>
      <c r="O29" s="55">
        <v>0</v>
      </c>
      <c r="P29" s="56"/>
      <c r="Q29" s="56"/>
      <c r="R29" s="56">
        <v>0</v>
      </c>
      <c r="S29" s="56"/>
      <c r="T29" s="56"/>
      <c r="U29" s="56"/>
      <c r="V29" s="56"/>
      <c r="W29" s="56"/>
      <c r="X29" s="56">
        <v>0</v>
      </c>
      <c r="Y29" s="378">
        <f>SUM(Z29:AC29)</f>
        <v>0</v>
      </c>
      <c r="Z29" s="378">
        <f>SUM(G29,P29)</f>
        <v>0</v>
      </c>
      <c r="AA29" s="378">
        <f>SUM(I29,R29)</f>
        <v>0</v>
      </c>
      <c r="AB29" s="378">
        <f>SUM(K29,T29)</f>
        <v>0</v>
      </c>
      <c r="AC29" s="378">
        <f>SUM(M29,V29)</f>
        <v>0</v>
      </c>
      <c r="AD29" s="378">
        <f>SUM(G29:N29,P29:W29)</f>
        <v>0</v>
      </c>
      <c r="AE29" s="378">
        <f>SUM(O29,X29)</f>
        <v>0</v>
      </c>
    </row>
    <row r="30" spans="1:31" ht="15.75" hidden="1">
      <c r="A30" s="486" t="s">
        <v>9</v>
      </c>
      <c r="B30" s="487"/>
      <c r="C30" s="487"/>
      <c r="D30" s="487"/>
      <c r="E30" s="487"/>
      <c r="F30" s="488"/>
      <c r="G30" s="64">
        <f t="shared" ref="G30:X30" si="8">SUM(G29:G29)</f>
        <v>0</v>
      </c>
      <c r="H30" s="64">
        <f t="shared" si="8"/>
        <v>0</v>
      </c>
      <c r="I30" s="64">
        <f t="shared" si="8"/>
        <v>0</v>
      </c>
      <c r="J30" s="64">
        <f t="shared" si="8"/>
        <v>0</v>
      </c>
      <c r="K30" s="64">
        <f t="shared" si="8"/>
        <v>0</v>
      </c>
      <c r="L30" s="64">
        <f t="shared" si="8"/>
        <v>0</v>
      </c>
      <c r="M30" s="64">
        <f t="shared" si="8"/>
        <v>0</v>
      </c>
      <c r="N30" s="64">
        <f t="shared" si="8"/>
        <v>0</v>
      </c>
      <c r="O30" s="64">
        <f t="shared" si="8"/>
        <v>0</v>
      </c>
      <c r="P30" s="64">
        <f t="shared" si="8"/>
        <v>0</v>
      </c>
      <c r="Q30" s="64">
        <f t="shared" si="8"/>
        <v>0</v>
      </c>
      <c r="R30" s="64">
        <f t="shared" si="8"/>
        <v>0</v>
      </c>
      <c r="S30" s="64">
        <f t="shared" si="8"/>
        <v>0</v>
      </c>
      <c r="T30" s="64">
        <f t="shared" si="8"/>
        <v>0</v>
      </c>
      <c r="U30" s="64">
        <f t="shared" si="8"/>
        <v>0</v>
      </c>
      <c r="V30" s="64">
        <f t="shared" si="8"/>
        <v>0</v>
      </c>
      <c r="W30" s="64">
        <f t="shared" si="8"/>
        <v>0</v>
      </c>
      <c r="X30" s="64">
        <f t="shared" si="8"/>
        <v>0</v>
      </c>
      <c r="Y30" s="64">
        <f t="shared" ref="Y30:AE30" si="9">SUM(Y29:Y29)</f>
        <v>0</v>
      </c>
      <c r="Z30" s="64">
        <f t="shared" si="9"/>
        <v>0</v>
      </c>
      <c r="AA30" s="64">
        <f t="shared" si="9"/>
        <v>0</v>
      </c>
      <c r="AB30" s="64">
        <f t="shared" si="9"/>
        <v>0</v>
      </c>
      <c r="AC30" s="64">
        <f t="shared" si="9"/>
        <v>0</v>
      </c>
      <c r="AD30" s="64">
        <f t="shared" si="9"/>
        <v>0</v>
      </c>
      <c r="AE30" s="64">
        <f t="shared" si="9"/>
        <v>0</v>
      </c>
    </row>
    <row r="31" spans="1:31" ht="21.75" customHeight="1">
      <c r="A31" s="315" t="s">
        <v>413</v>
      </c>
      <c r="B31" s="316"/>
      <c r="C31" s="317"/>
      <c r="D31" s="316"/>
      <c r="E31" s="316"/>
      <c r="F31" s="316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62"/>
    </row>
    <row r="32" spans="1:31" ht="23.25" customHeight="1">
      <c r="A32" s="58" t="s">
        <v>129</v>
      </c>
      <c r="B32" s="570" t="s">
        <v>323</v>
      </c>
      <c r="C32" s="571"/>
      <c r="D32" s="311"/>
      <c r="E32" s="312">
        <v>5</v>
      </c>
      <c r="F32" s="312"/>
      <c r="G32" s="55">
        <v>15</v>
      </c>
      <c r="H32" s="55">
        <v>10</v>
      </c>
      <c r="I32" s="55"/>
      <c r="J32" s="55"/>
      <c r="K32" s="55"/>
      <c r="L32" s="55"/>
      <c r="M32" s="55"/>
      <c r="N32" s="55"/>
      <c r="O32" s="55">
        <v>1</v>
      </c>
      <c r="P32" s="56"/>
      <c r="Q32" s="56"/>
      <c r="R32" s="56"/>
      <c r="S32" s="56"/>
      <c r="T32" s="56"/>
      <c r="U32" s="56"/>
      <c r="V32" s="56"/>
      <c r="W32" s="56"/>
      <c r="X32" s="56"/>
      <c r="Y32" s="43">
        <f>SUM(Z32:AC32)</f>
        <v>15</v>
      </c>
      <c r="Z32" s="43">
        <f>SUM(G32,P32)</f>
        <v>15</v>
      </c>
      <c r="AA32" s="43">
        <f>SUM(I32,R32)</f>
        <v>0</v>
      </c>
      <c r="AB32" s="43">
        <f>SUM(K32,T32)</f>
        <v>0</v>
      </c>
      <c r="AC32" s="43">
        <f>SUM(M32,V32)</f>
        <v>0</v>
      </c>
      <c r="AD32" s="43">
        <f>SUM(G32:N32,P32:W32)</f>
        <v>25</v>
      </c>
      <c r="AE32" s="43">
        <f>SUM(O32,X32)</f>
        <v>1</v>
      </c>
    </row>
    <row r="33" spans="1:31" ht="23.25" customHeight="1">
      <c r="A33" s="58" t="s">
        <v>130</v>
      </c>
      <c r="B33" s="570" t="s">
        <v>323</v>
      </c>
      <c r="C33" s="571"/>
      <c r="D33" s="311"/>
      <c r="E33" s="312">
        <v>5</v>
      </c>
      <c r="F33" s="312"/>
      <c r="G33" s="55">
        <v>15</v>
      </c>
      <c r="H33" s="55">
        <v>10</v>
      </c>
      <c r="I33" s="55"/>
      <c r="J33" s="55"/>
      <c r="K33" s="55"/>
      <c r="L33" s="55"/>
      <c r="M33" s="55"/>
      <c r="N33" s="55"/>
      <c r="O33" s="55">
        <v>1</v>
      </c>
      <c r="P33" s="56"/>
      <c r="Q33" s="56"/>
      <c r="R33" s="56"/>
      <c r="S33" s="56"/>
      <c r="T33" s="56"/>
      <c r="U33" s="56"/>
      <c r="V33" s="56"/>
      <c r="W33" s="56"/>
      <c r="X33" s="56"/>
      <c r="Y33" s="43">
        <f t="shared" ref="Y33:Y38" si="10">SUM(Z33:AC33)</f>
        <v>15</v>
      </c>
      <c r="Z33" s="43">
        <f>SUM(G33,P33)</f>
        <v>15</v>
      </c>
      <c r="AA33" s="43">
        <f t="shared" ref="AA33:AA38" si="11">SUM(I33,R33)</f>
        <v>0</v>
      </c>
      <c r="AB33" s="43">
        <f t="shared" ref="AB33:AB38" si="12">SUM(K33,T33)</f>
        <v>0</v>
      </c>
      <c r="AC33" s="43">
        <f t="shared" ref="AC33:AC38" si="13">SUM(M33,V33)</f>
        <v>0</v>
      </c>
      <c r="AD33" s="43">
        <f>SUM(G33:N33,P33:W33)</f>
        <v>25</v>
      </c>
      <c r="AE33" s="43">
        <f>SUM(O33,X33)</f>
        <v>1</v>
      </c>
    </row>
    <row r="34" spans="1:31" s="292" customFormat="1" ht="23.25" customHeight="1">
      <c r="A34" s="58" t="s">
        <v>131</v>
      </c>
      <c r="B34" s="570" t="s">
        <v>323</v>
      </c>
      <c r="C34" s="571"/>
      <c r="D34" s="311"/>
      <c r="E34" s="312">
        <v>5</v>
      </c>
      <c r="F34" s="312"/>
      <c r="G34" s="55"/>
      <c r="H34" s="55"/>
      <c r="I34" s="55">
        <v>15</v>
      </c>
      <c r="J34" s="55">
        <v>10</v>
      </c>
      <c r="K34" s="55"/>
      <c r="L34" s="55"/>
      <c r="M34" s="55"/>
      <c r="N34" s="55"/>
      <c r="O34" s="55">
        <v>1</v>
      </c>
      <c r="P34" s="56"/>
      <c r="Q34" s="56"/>
      <c r="R34" s="56"/>
      <c r="S34" s="56"/>
      <c r="T34" s="56"/>
      <c r="U34" s="56"/>
      <c r="V34" s="56"/>
      <c r="W34" s="56"/>
      <c r="X34" s="56"/>
      <c r="Y34" s="43">
        <f>SUM(Z34:AC34)</f>
        <v>15</v>
      </c>
      <c r="Z34" s="43">
        <f>SUM(G34,P34)</f>
        <v>0</v>
      </c>
      <c r="AA34" s="43">
        <f>SUM(I34,R34)</f>
        <v>15</v>
      </c>
      <c r="AB34" s="43">
        <v>0</v>
      </c>
      <c r="AC34" s="43">
        <f>SUM(M34,V34)</f>
        <v>0</v>
      </c>
      <c r="AD34" s="43">
        <f>SUM(G34:N34,P34:W34)</f>
        <v>25</v>
      </c>
      <c r="AE34" s="43">
        <f>SUM(O34,X34)</f>
        <v>1</v>
      </c>
    </row>
    <row r="35" spans="1:31" ht="23.25" customHeight="1">
      <c r="A35" s="58" t="s">
        <v>132</v>
      </c>
      <c r="B35" s="570" t="s">
        <v>323</v>
      </c>
      <c r="C35" s="571"/>
      <c r="D35" s="311"/>
      <c r="E35" s="312">
        <v>5</v>
      </c>
      <c r="F35" s="312"/>
      <c r="G35" s="55"/>
      <c r="H35" s="55"/>
      <c r="I35" s="55">
        <v>15</v>
      </c>
      <c r="J35" s="55">
        <v>10</v>
      </c>
      <c r="K35" s="55"/>
      <c r="L35" s="55"/>
      <c r="M35" s="55"/>
      <c r="N35" s="55"/>
      <c r="O35" s="55">
        <v>1</v>
      </c>
      <c r="P35" s="56"/>
      <c r="Q35" s="56"/>
      <c r="R35" s="56"/>
      <c r="S35" s="56"/>
      <c r="T35" s="56"/>
      <c r="U35" s="56"/>
      <c r="V35" s="56"/>
      <c r="W35" s="56"/>
      <c r="X35" s="56"/>
      <c r="Y35" s="43">
        <f>SUM(Z35:AC35)</f>
        <v>15</v>
      </c>
      <c r="Z35" s="43">
        <f>SUM(G35,P35)</f>
        <v>0</v>
      </c>
      <c r="AA35" s="43">
        <f>SUM(I35,R35)</f>
        <v>15</v>
      </c>
      <c r="AB35" s="43">
        <f>SUM(K35,T35)</f>
        <v>0</v>
      </c>
      <c r="AC35" s="43">
        <f>SUM(M35,V35)</f>
        <v>0</v>
      </c>
      <c r="AD35" s="43">
        <f>SUM(G35:N35,P35:W35)</f>
        <v>25</v>
      </c>
      <c r="AE35" s="43">
        <f>SUM(O35,X35)</f>
        <v>1</v>
      </c>
    </row>
    <row r="36" spans="1:31" s="292" customFormat="1" ht="23.25" customHeight="1">
      <c r="A36" s="58" t="s">
        <v>133</v>
      </c>
      <c r="B36" s="570" t="s">
        <v>323</v>
      </c>
      <c r="C36" s="571"/>
      <c r="D36" s="311"/>
      <c r="E36" s="312">
        <v>6</v>
      </c>
      <c r="F36" s="312"/>
      <c r="G36" s="55"/>
      <c r="H36" s="55"/>
      <c r="I36" s="55"/>
      <c r="J36" s="55"/>
      <c r="K36" s="55"/>
      <c r="L36" s="55"/>
      <c r="M36" s="55"/>
      <c r="N36" s="55"/>
      <c r="O36" s="55"/>
      <c r="P36" s="56">
        <v>15</v>
      </c>
      <c r="Q36" s="56">
        <v>10</v>
      </c>
      <c r="R36" s="56"/>
      <c r="S36" s="56"/>
      <c r="T36" s="56"/>
      <c r="U36" s="56"/>
      <c r="V36" s="56"/>
      <c r="W36" s="56"/>
      <c r="X36" s="56">
        <v>1</v>
      </c>
      <c r="Y36" s="43">
        <f>SUM(Z36:AC36)</f>
        <v>15</v>
      </c>
      <c r="Z36" s="43">
        <f>SUM(G36,P36)</f>
        <v>15</v>
      </c>
      <c r="AA36" s="43">
        <f>SUM(I36,R36)</f>
        <v>0</v>
      </c>
      <c r="AB36" s="43">
        <f>SUM(K36,T36)</f>
        <v>0</v>
      </c>
      <c r="AC36" s="43">
        <f>SUM(M36,V36)</f>
        <v>0</v>
      </c>
      <c r="AD36" s="43">
        <f>SUM(G36:N36,P36:W36)</f>
        <v>25</v>
      </c>
      <c r="AE36" s="43">
        <f>SUM(O36,X36)</f>
        <v>1</v>
      </c>
    </row>
    <row r="37" spans="1:31" ht="23.25" customHeight="1">
      <c r="A37" s="58" t="s">
        <v>137</v>
      </c>
      <c r="B37" s="570" t="s">
        <v>116</v>
      </c>
      <c r="C37" s="571"/>
      <c r="D37" s="311"/>
      <c r="E37" s="312">
        <v>6</v>
      </c>
      <c r="F37" s="312"/>
      <c r="G37" s="55"/>
      <c r="H37" s="55"/>
      <c r="I37" s="55"/>
      <c r="J37" s="55"/>
      <c r="K37" s="55"/>
      <c r="L37" s="55"/>
      <c r="M37" s="55"/>
      <c r="N37" s="55"/>
      <c r="O37" s="55"/>
      <c r="P37" s="56">
        <v>15</v>
      </c>
      <c r="Q37" s="56">
        <v>10</v>
      </c>
      <c r="R37" s="56"/>
      <c r="S37" s="56"/>
      <c r="T37" s="56"/>
      <c r="U37" s="56"/>
      <c r="V37" s="56"/>
      <c r="W37" s="56"/>
      <c r="X37" s="56">
        <v>1</v>
      </c>
      <c r="Y37" s="43">
        <f t="shared" si="10"/>
        <v>15</v>
      </c>
      <c r="Z37" s="43">
        <f t="shared" ref="Z37:Z38" si="14">SUM(G37,P37)</f>
        <v>15</v>
      </c>
      <c r="AA37" s="43">
        <f t="shared" si="11"/>
        <v>0</v>
      </c>
      <c r="AB37" s="43">
        <f t="shared" si="12"/>
        <v>0</v>
      </c>
      <c r="AC37" s="43">
        <f t="shared" si="13"/>
        <v>0</v>
      </c>
      <c r="AD37" s="43">
        <f t="shared" ref="AD37:AD38" si="15">SUM(G37:N37,P37:W37)</f>
        <v>25</v>
      </c>
      <c r="AE37" s="43">
        <f t="shared" ref="AE37:AE38" si="16">SUM(O37,X37)</f>
        <v>1</v>
      </c>
    </row>
    <row r="38" spans="1:31" ht="23.25" customHeight="1">
      <c r="A38" s="58" t="s">
        <v>138</v>
      </c>
      <c r="B38" s="570" t="s">
        <v>116</v>
      </c>
      <c r="C38" s="571"/>
      <c r="D38" s="311"/>
      <c r="E38" s="312">
        <v>6</v>
      </c>
      <c r="F38" s="312"/>
      <c r="G38" s="55"/>
      <c r="H38" s="55"/>
      <c r="I38" s="55"/>
      <c r="J38" s="55"/>
      <c r="K38" s="55"/>
      <c r="L38" s="55"/>
      <c r="M38" s="55"/>
      <c r="N38" s="55"/>
      <c r="O38" s="55"/>
      <c r="P38" s="56">
        <v>15</v>
      </c>
      <c r="Q38" s="56">
        <v>10</v>
      </c>
      <c r="R38" s="56"/>
      <c r="S38" s="56"/>
      <c r="T38" s="56"/>
      <c r="U38" s="56"/>
      <c r="V38" s="56"/>
      <c r="W38" s="56"/>
      <c r="X38" s="56">
        <v>1</v>
      </c>
      <c r="Y38" s="43">
        <f t="shared" si="10"/>
        <v>15</v>
      </c>
      <c r="Z38" s="43">
        <f t="shared" si="14"/>
        <v>15</v>
      </c>
      <c r="AA38" s="43">
        <f t="shared" si="11"/>
        <v>0</v>
      </c>
      <c r="AB38" s="43">
        <f t="shared" si="12"/>
        <v>0</v>
      </c>
      <c r="AC38" s="43">
        <f t="shared" si="13"/>
        <v>0</v>
      </c>
      <c r="AD38" s="43">
        <f t="shared" si="15"/>
        <v>25</v>
      </c>
      <c r="AE38" s="43">
        <f t="shared" si="16"/>
        <v>1</v>
      </c>
    </row>
    <row r="39" spans="1:31" ht="19.5" customHeight="1" thickBot="1">
      <c r="A39" s="567" t="s">
        <v>9</v>
      </c>
      <c r="B39" s="568"/>
      <c r="C39" s="568"/>
      <c r="D39" s="568"/>
      <c r="E39" s="568"/>
      <c r="F39" s="569"/>
      <c r="G39" s="64">
        <f t="shared" ref="G39:AE39" si="17">SUM(G32:G38)</f>
        <v>30</v>
      </c>
      <c r="H39" s="64">
        <f t="shared" si="17"/>
        <v>20</v>
      </c>
      <c r="I39" s="64">
        <f t="shared" si="17"/>
        <v>30</v>
      </c>
      <c r="J39" s="64">
        <f t="shared" si="17"/>
        <v>20</v>
      </c>
      <c r="K39" s="64">
        <f t="shared" si="17"/>
        <v>0</v>
      </c>
      <c r="L39" s="64">
        <f t="shared" si="17"/>
        <v>0</v>
      </c>
      <c r="M39" s="64">
        <f t="shared" si="17"/>
        <v>0</v>
      </c>
      <c r="N39" s="64">
        <f t="shared" si="17"/>
        <v>0</v>
      </c>
      <c r="O39" s="64">
        <f t="shared" si="17"/>
        <v>4</v>
      </c>
      <c r="P39" s="64">
        <f t="shared" si="17"/>
        <v>45</v>
      </c>
      <c r="Q39" s="64">
        <f t="shared" si="17"/>
        <v>30</v>
      </c>
      <c r="R39" s="64">
        <f t="shared" si="17"/>
        <v>0</v>
      </c>
      <c r="S39" s="64">
        <f t="shared" si="17"/>
        <v>0</v>
      </c>
      <c r="T39" s="64">
        <f t="shared" si="17"/>
        <v>0</v>
      </c>
      <c r="U39" s="64">
        <f t="shared" si="17"/>
        <v>0</v>
      </c>
      <c r="V39" s="64">
        <f t="shared" si="17"/>
        <v>0</v>
      </c>
      <c r="W39" s="64">
        <f t="shared" si="17"/>
        <v>0</v>
      </c>
      <c r="X39" s="64">
        <f t="shared" si="17"/>
        <v>3</v>
      </c>
      <c r="Y39" s="64">
        <f t="shared" si="17"/>
        <v>105</v>
      </c>
      <c r="Z39" s="64">
        <f t="shared" si="17"/>
        <v>75</v>
      </c>
      <c r="AA39" s="64">
        <f t="shared" si="17"/>
        <v>30</v>
      </c>
      <c r="AB39" s="64">
        <f t="shared" si="17"/>
        <v>0</v>
      </c>
      <c r="AC39" s="64">
        <f t="shared" si="17"/>
        <v>0</v>
      </c>
      <c r="AD39" s="64">
        <f t="shared" si="17"/>
        <v>175</v>
      </c>
      <c r="AE39" s="64">
        <f t="shared" si="17"/>
        <v>7</v>
      </c>
    </row>
    <row r="40" spans="1:31" ht="25.5" customHeight="1" thickBot="1">
      <c r="A40" s="564" t="s">
        <v>21</v>
      </c>
      <c r="B40" s="565"/>
      <c r="C40" s="565"/>
      <c r="D40" s="565"/>
      <c r="E40" s="565"/>
      <c r="F40" s="566"/>
      <c r="G40" s="327">
        <f t="shared" ref="G40:N40" si="18">SUM(G14,G21,G24,G30,G27,G39)</f>
        <v>145</v>
      </c>
      <c r="H40" s="327">
        <f t="shared" si="18"/>
        <v>155</v>
      </c>
      <c r="I40" s="327">
        <f t="shared" si="18"/>
        <v>220</v>
      </c>
      <c r="J40" s="327">
        <f t="shared" si="18"/>
        <v>180</v>
      </c>
      <c r="K40" s="327">
        <f t="shared" si="18"/>
        <v>50</v>
      </c>
      <c r="L40" s="327">
        <f t="shared" si="18"/>
        <v>0</v>
      </c>
      <c r="M40" s="327">
        <f t="shared" si="18"/>
        <v>0</v>
      </c>
      <c r="N40" s="327">
        <f t="shared" si="18"/>
        <v>0</v>
      </c>
      <c r="O40" s="327">
        <f>SUM(O39,O27,O30,O24,O21,O14)</f>
        <v>30</v>
      </c>
      <c r="P40" s="327">
        <f t="shared" ref="P40:W40" si="19">SUM(P14,P21,P24,P30,P27,P39)</f>
        <v>150</v>
      </c>
      <c r="Q40" s="327">
        <f t="shared" si="19"/>
        <v>200</v>
      </c>
      <c r="R40" s="327">
        <f t="shared" si="19"/>
        <v>145</v>
      </c>
      <c r="S40" s="327">
        <f t="shared" si="19"/>
        <v>115</v>
      </c>
      <c r="T40" s="327">
        <f t="shared" si="19"/>
        <v>160</v>
      </c>
      <c r="U40" s="327">
        <f t="shared" si="19"/>
        <v>0</v>
      </c>
      <c r="V40" s="327">
        <f t="shared" si="19"/>
        <v>0</v>
      </c>
      <c r="W40" s="327">
        <f t="shared" si="19"/>
        <v>0</v>
      </c>
      <c r="X40" s="327">
        <f>SUM(X39,X30,X27,X24,X21,X14)</f>
        <v>30</v>
      </c>
      <c r="Y40" s="327">
        <f t="shared" ref="Y40:AD40" si="20">SUM(Y14,Y21,Y24,Y30,Y27,Y39)</f>
        <v>800</v>
      </c>
      <c r="Z40" s="327">
        <f t="shared" si="20"/>
        <v>265</v>
      </c>
      <c r="AA40" s="327">
        <f t="shared" si="20"/>
        <v>325</v>
      </c>
      <c r="AB40" s="327">
        <f t="shared" si="20"/>
        <v>210</v>
      </c>
      <c r="AC40" s="327">
        <f t="shared" si="20"/>
        <v>0</v>
      </c>
      <c r="AD40" s="327">
        <f t="shared" si="20"/>
        <v>1345</v>
      </c>
      <c r="AE40" s="327">
        <f>SUM(AE39,AE27,AE30,AE24,AE21,AE14)</f>
        <v>60</v>
      </c>
    </row>
    <row r="41" spans="1:31">
      <c r="A41" s="391"/>
      <c r="B41" s="392" t="s">
        <v>324</v>
      </c>
      <c r="C41" s="382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</row>
    <row r="42" spans="1:31" ht="18">
      <c r="A42" s="530" t="s">
        <v>359</v>
      </c>
      <c r="B42" s="530"/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30"/>
      <c r="AE42" s="530"/>
    </row>
    <row r="43" spans="1:31" ht="21">
      <c r="A43" s="393"/>
      <c r="B43" s="394"/>
      <c r="C43" s="395"/>
      <c r="D43" s="396"/>
      <c r="E43" s="396"/>
      <c r="F43" s="396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8"/>
      <c r="S43" s="398"/>
      <c r="T43" s="398"/>
      <c r="U43" s="398"/>
      <c r="V43" s="398"/>
      <c r="W43" s="398"/>
      <c r="X43" s="398"/>
      <c r="Y43" s="397"/>
      <c r="Z43" s="397"/>
      <c r="AA43" s="397"/>
      <c r="AB43" s="397"/>
      <c r="AC43" s="397"/>
      <c r="AD43" s="397"/>
      <c r="AE43" s="397"/>
    </row>
    <row r="44" spans="1:31" ht="30" customHeight="1">
      <c r="A44" s="58" t="s">
        <v>137</v>
      </c>
      <c r="B44" s="60" t="s">
        <v>181</v>
      </c>
      <c r="C44" s="310" t="str">
        <f>"0912-7LEK-F-"&amp;A44&amp;"-"&amp;UPPER(LEFT(B44,1))&amp;"N"</f>
        <v>0912-7LEK-F-15-PN</v>
      </c>
      <c r="D44" s="311"/>
      <c r="E44" s="312">
        <v>5</v>
      </c>
      <c r="F44" s="312"/>
      <c r="G44" s="55">
        <v>15</v>
      </c>
      <c r="H44" s="55">
        <v>10</v>
      </c>
      <c r="I44" s="55"/>
      <c r="J44" s="55"/>
      <c r="K44" s="55"/>
      <c r="L44" s="55"/>
      <c r="M44" s="55"/>
      <c r="N44" s="55"/>
      <c r="O44" s="55">
        <v>1</v>
      </c>
      <c r="P44" s="56"/>
      <c r="Q44" s="56"/>
      <c r="R44" s="56"/>
      <c r="S44" s="56"/>
      <c r="T44" s="56"/>
      <c r="U44" s="56"/>
      <c r="V44" s="56"/>
      <c r="W44" s="56"/>
      <c r="X44" s="56"/>
      <c r="Y44" s="43">
        <f>SUM(G44,I44,K44,M44,P44,R44,T44,V44)</f>
        <v>15</v>
      </c>
      <c r="Z44" s="43">
        <f>SUM(G44,P44)</f>
        <v>15</v>
      </c>
      <c r="AA44" s="43">
        <f>SUM(I44,R44)</f>
        <v>0</v>
      </c>
      <c r="AB44" s="43">
        <f>SUM(K44,T44)</f>
        <v>0</v>
      </c>
      <c r="AC44" s="43">
        <f>SUM(M44,V44)</f>
        <v>0</v>
      </c>
      <c r="AD44" s="43">
        <f>SUM(G44:N44,P44:W44)</f>
        <v>25</v>
      </c>
      <c r="AE44" s="43">
        <f>SUM(O44,X44)</f>
        <v>1</v>
      </c>
    </row>
    <row r="45" spans="1:31" ht="35.25" customHeight="1">
      <c r="A45" s="58" t="s">
        <v>138</v>
      </c>
      <c r="B45" s="60" t="s">
        <v>189</v>
      </c>
      <c r="C45" s="310" t="str">
        <f>"0912-7LEK-F-"&amp;A45&amp;"-"&amp;UPPER(LEFT(B45,1))&amp;"T"</f>
        <v>0912-7LEK-F-16-PT</v>
      </c>
      <c r="D45" s="311"/>
      <c r="E45" s="312">
        <v>5</v>
      </c>
      <c r="F45" s="312"/>
      <c r="G45" s="55">
        <v>15</v>
      </c>
      <c r="H45" s="55">
        <v>10</v>
      </c>
      <c r="I45" s="55"/>
      <c r="J45" s="55"/>
      <c r="K45" s="55"/>
      <c r="L45" s="55"/>
      <c r="M45" s="55"/>
      <c r="N45" s="55"/>
      <c r="O45" s="55">
        <v>1</v>
      </c>
      <c r="P45" s="56"/>
      <c r="Q45" s="56"/>
      <c r="R45" s="56"/>
      <c r="S45" s="56"/>
      <c r="T45" s="56"/>
      <c r="U45" s="56"/>
      <c r="V45" s="56"/>
      <c r="W45" s="56"/>
      <c r="X45" s="56"/>
      <c r="Y45" s="43">
        <f t="shared" ref="Y45:Y52" si="21">SUM(G45,I45,K45,M45,P45,R45,T45,V45)</f>
        <v>15</v>
      </c>
      <c r="Z45" s="43">
        <f>SUM(G45,P45)</f>
        <v>15</v>
      </c>
      <c r="AA45" s="43">
        <f>SUM(I45,R45)</f>
        <v>0</v>
      </c>
      <c r="AB45" s="43">
        <f>SUM(K45,T45)</f>
        <v>0</v>
      </c>
      <c r="AC45" s="43">
        <f>SUM(M45,V45)</f>
        <v>0</v>
      </c>
      <c r="AD45" s="43">
        <f>SUM(G45:N45,P45:W45)</f>
        <v>25</v>
      </c>
      <c r="AE45" s="43">
        <f>SUM(O45,X45)</f>
        <v>1</v>
      </c>
    </row>
    <row r="46" spans="1:31" ht="35.25" customHeight="1">
      <c r="A46" s="58" t="s">
        <v>139</v>
      </c>
      <c r="B46" s="60" t="s">
        <v>198</v>
      </c>
      <c r="C46" s="310" t="s">
        <v>326</v>
      </c>
      <c r="D46" s="311"/>
      <c r="E46" s="312">
        <v>5</v>
      </c>
      <c r="F46" s="312"/>
      <c r="G46" s="55">
        <v>15</v>
      </c>
      <c r="H46" s="55">
        <v>10</v>
      </c>
      <c r="I46" s="55"/>
      <c r="J46" s="55"/>
      <c r="K46" s="55"/>
      <c r="L46" s="55"/>
      <c r="M46" s="55"/>
      <c r="N46" s="55"/>
      <c r="O46" s="55">
        <v>1</v>
      </c>
      <c r="P46" s="56"/>
      <c r="Q46" s="56"/>
      <c r="R46" s="56"/>
      <c r="S46" s="56"/>
      <c r="T46" s="56"/>
      <c r="U46" s="56"/>
      <c r="V46" s="56"/>
      <c r="W46" s="56"/>
      <c r="X46" s="56"/>
      <c r="Y46" s="43">
        <f>SUM(G46,I46,K46,M46,P46,R46,T46,V46)</f>
        <v>15</v>
      </c>
      <c r="Z46" s="43">
        <f>SUM(G46,P46)</f>
        <v>15</v>
      </c>
      <c r="AA46" s="43">
        <f>SUM(I46,R46)</f>
        <v>0</v>
      </c>
      <c r="AB46" s="43">
        <f>SUM(K46,T46)</f>
        <v>0</v>
      </c>
      <c r="AC46" s="43">
        <f>SUM(M46,V46)</f>
        <v>0</v>
      </c>
      <c r="AD46" s="43">
        <f>SUM(G46:N46,P46:W46)</f>
        <v>25</v>
      </c>
      <c r="AE46" s="43">
        <f>SUM(O46,X46)</f>
        <v>1</v>
      </c>
    </row>
    <row r="47" spans="1:31" s="10" customFormat="1" ht="33.75" customHeight="1">
      <c r="A47" s="58" t="s">
        <v>147</v>
      </c>
      <c r="B47" s="296" t="s">
        <v>115</v>
      </c>
      <c r="C47" s="310" t="str">
        <f>"0912-7LEK-F-"&amp;A47&amp;"-"&amp;UPPER(LEFT(B47,1))&amp;"T"</f>
        <v>0912-7LEK-F-18-NT</v>
      </c>
      <c r="D47" s="311"/>
      <c r="E47" s="312">
        <v>5</v>
      </c>
      <c r="F47" s="312"/>
      <c r="G47" s="55"/>
      <c r="H47" s="55"/>
      <c r="I47" s="55">
        <v>15</v>
      </c>
      <c r="J47" s="55">
        <v>10</v>
      </c>
      <c r="K47" s="55"/>
      <c r="L47" s="55"/>
      <c r="M47" s="55"/>
      <c r="N47" s="55"/>
      <c r="O47" s="55">
        <v>1</v>
      </c>
      <c r="P47" s="56"/>
      <c r="Q47" s="56"/>
      <c r="R47" s="56"/>
      <c r="S47" s="56"/>
      <c r="T47" s="56"/>
      <c r="U47" s="56"/>
      <c r="V47" s="56"/>
      <c r="W47" s="56"/>
      <c r="X47" s="56"/>
      <c r="Y47" s="43">
        <f>SUM(G47,I47,K47,M47,P47,R47,T47,V47)</f>
        <v>15</v>
      </c>
      <c r="Z47" s="43">
        <f>SUM(G47,P47)</f>
        <v>0</v>
      </c>
      <c r="AA47" s="43">
        <f>SUM(I47,R47)</f>
        <v>15</v>
      </c>
      <c r="AB47" s="43">
        <f>SUM(K47,T47)</f>
        <v>0</v>
      </c>
      <c r="AC47" s="43">
        <f>SUM(M47,V47)</f>
        <v>0</v>
      </c>
      <c r="AD47" s="43">
        <f>SUM(G47:N47,P47:W47)</f>
        <v>25</v>
      </c>
      <c r="AE47" s="43">
        <f>SUM(O47,X47)</f>
        <v>1</v>
      </c>
    </row>
    <row r="48" spans="1:31" ht="48.75" customHeight="1">
      <c r="A48" s="58" t="s">
        <v>148</v>
      </c>
      <c r="B48" s="60" t="s">
        <v>199</v>
      </c>
      <c r="C48" s="310" t="str">
        <f>"0912-7LEK-F-"&amp;A48&amp;"-"&amp;UPPER(LEFT(B48,1))&amp;"K"</f>
        <v>0912-7LEK-F-19-IK</v>
      </c>
      <c r="D48" s="311"/>
      <c r="E48" s="312">
        <v>5</v>
      </c>
      <c r="F48" s="312"/>
      <c r="G48" s="55"/>
      <c r="H48" s="55"/>
      <c r="I48" s="55">
        <v>15</v>
      </c>
      <c r="J48" s="55">
        <v>10</v>
      </c>
      <c r="K48" s="55"/>
      <c r="L48" s="55"/>
      <c r="M48" s="55"/>
      <c r="N48" s="55"/>
      <c r="O48" s="55">
        <v>1</v>
      </c>
      <c r="P48" s="56"/>
      <c r="Q48" s="56"/>
      <c r="R48" s="56"/>
      <c r="S48" s="56"/>
      <c r="T48" s="56"/>
      <c r="U48" s="56"/>
      <c r="V48" s="56"/>
      <c r="W48" s="56"/>
      <c r="X48" s="56"/>
      <c r="Y48" s="43">
        <f>SUM(G48,I48,K48,M48,P48,R48,T48,V48)</f>
        <v>15</v>
      </c>
      <c r="Z48" s="43">
        <f t="shared" ref="Z48:Z52" si="22">SUM(G48,P48)</f>
        <v>0</v>
      </c>
      <c r="AA48" s="43">
        <f t="shared" ref="AA48:AA52" si="23">SUM(I48,R48)</f>
        <v>15</v>
      </c>
      <c r="AB48" s="43">
        <f>SUM(K48,T48)</f>
        <v>0</v>
      </c>
      <c r="AC48" s="43">
        <f t="shared" ref="AC48:AC52" si="24">SUM(M48,V48)</f>
        <v>0</v>
      </c>
      <c r="AD48" s="43">
        <f t="shared" ref="AD48:AD52" si="25">SUM(G48:N48,P48:W48)</f>
        <v>25</v>
      </c>
      <c r="AE48" s="43">
        <f t="shared" ref="AE48:AE52" si="26">SUM(O48,X48)</f>
        <v>1</v>
      </c>
    </row>
    <row r="49" spans="1:31" ht="46.5">
      <c r="A49" s="58" t="s">
        <v>149</v>
      </c>
      <c r="B49" s="60" t="s">
        <v>200</v>
      </c>
      <c r="C49" s="310" t="str">
        <f>"0912-7LEK-F-"&amp;A49&amp;"-"&amp;UPPER(LEFT(B49,1))&amp;"M"</f>
        <v>0912-7LEK-F-20-JM</v>
      </c>
      <c r="D49" s="311"/>
      <c r="E49" s="312">
        <v>5</v>
      </c>
      <c r="F49" s="312"/>
      <c r="G49" s="55"/>
      <c r="H49" s="55"/>
      <c r="I49" s="55">
        <v>15</v>
      </c>
      <c r="J49" s="55">
        <v>10</v>
      </c>
      <c r="K49" s="55"/>
      <c r="L49" s="55"/>
      <c r="M49" s="55"/>
      <c r="N49" s="55"/>
      <c r="O49" s="55">
        <v>1</v>
      </c>
      <c r="P49" s="56"/>
      <c r="Q49" s="56"/>
      <c r="R49" s="56"/>
      <c r="S49" s="56"/>
      <c r="T49" s="56"/>
      <c r="U49" s="56"/>
      <c r="V49" s="56"/>
      <c r="W49" s="56"/>
      <c r="X49" s="56"/>
      <c r="Y49" s="43">
        <f t="shared" si="21"/>
        <v>15</v>
      </c>
      <c r="Z49" s="43">
        <f t="shared" si="22"/>
        <v>0</v>
      </c>
      <c r="AA49" s="43">
        <f t="shared" si="23"/>
        <v>15</v>
      </c>
      <c r="AB49" s="43">
        <f t="shared" ref="AB49:AB52" si="27">SUM(K49,T49)</f>
        <v>0</v>
      </c>
      <c r="AC49" s="43">
        <f t="shared" si="24"/>
        <v>0</v>
      </c>
      <c r="AD49" s="43">
        <f t="shared" si="25"/>
        <v>25</v>
      </c>
      <c r="AE49" s="43">
        <f t="shared" si="26"/>
        <v>1</v>
      </c>
    </row>
    <row r="50" spans="1:31" ht="45.75" customHeight="1">
      <c r="A50" s="58" t="s">
        <v>150</v>
      </c>
      <c r="B50" s="60" t="s">
        <v>201</v>
      </c>
      <c r="C50" s="310" t="str">
        <f>"0912-7LEK-F-"&amp;A50&amp;"-"&amp;UPPER(LEFT(B50,1))&amp;"Z"</f>
        <v>0912-7LEK-F-21-PZ</v>
      </c>
      <c r="D50" s="311"/>
      <c r="E50" s="312">
        <v>6</v>
      </c>
      <c r="F50" s="312"/>
      <c r="G50" s="55"/>
      <c r="H50" s="55"/>
      <c r="I50" s="55"/>
      <c r="J50" s="55"/>
      <c r="K50" s="55"/>
      <c r="L50" s="55"/>
      <c r="M50" s="55"/>
      <c r="N50" s="55"/>
      <c r="O50" s="55"/>
      <c r="P50" s="56">
        <v>15</v>
      </c>
      <c r="Q50" s="56">
        <v>10</v>
      </c>
      <c r="R50" s="56"/>
      <c r="S50" s="56"/>
      <c r="T50" s="56"/>
      <c r="U50" s="56"/>
      <c r="V50" s="56"/>
      <c r="W50" s="56"/>
      <c r="X50" s="56">
        <v>1</v>
      </c>
      <c r="Y50" s="43">
        <f t="shared" si="21"/>
        <v>15</v>
      </c>
      <c r="Z50" s="43">
        <f t="shared" si="22"/>
        <v>15</v>
      </c>
      <c r="AA50" s="43">
        <f t="shared" si="23"/>
        <v>0</v>
      </c>
      <c r="AB50" s="43">
        <f t="shared" si="27"/>
        <v>0</v>
      </c>
      <c r="AC50" s="43">
        <f t="shared" si="24"/>
        <v>0</v>
      </c>
      <c r="AD50" s="43">
        <f t="shared" si="25"/>
        <v>25</v>
      </c>
      <c r="AE50" s="43">
        <f t="shared" si="26"/>
        <v>1</v>
      </c>
    </row>
    <row r="51" spans="1:31" ht="37.5" customHeight="1">
      <c r="A51" s="58" t="s">
        <v>190</v>
      </c>
      <c r="B51" s="60" t="s">
        <v>197</v>
      </c>
      <c r="C51" s="310" t="str">
        <f>"0912-7LEK-F-"&amp;A51&amp;"-"&amp;UPPER(LEFT(B51,1))&amp;""</f>
        <v>0912-7LEK-F-22-S</v>
      </c>
      <c r="D51" s="311"/>
      <c r="E51" s="312">
        <v>6</v>
      </c>
      <c r="F51" s="312"/>
      <c r="G51" s="55"/>
      <c r="H51" s="55"/>
      <c r="I51" s="55"/>
      <c r="J51" s="55"/>
      <c r="K51" s="55"/>
      <c r="L51" s="55"/>
      <c r="M51" s="55"/>
      <c r="N51" s="55"/>
      <c r="O51" s="55"/>
      <c r="P51" s="56">
        <v>15</v>
      </c>
      <c r="Q51" s="56">
        <v>10</v>
      </c>
      <c r="R51" s="56"/>
      <c r="S51" s="56"/>
      <c r="T51" s="56"/>
      <c r="U51" s="56"/>
      <c r="V51" s="56"/>
      <c r="W51" s="56"/>
      <c r="X51" s="56">
        <v>1</v>
      </c>
      <c r="Y51" s="43">
        <f t="shared" si="21"/>
        <v>15</v>
      </c>
      <c r="Z51" s="43">
        <f t="shared" si="22"/>
        <v>15</v>
      </c>
      <c r="AA51" s="43">
        <f t="shared" si="23"/>
        <v>0</v>
      </c>
      <c r="AB51" s="43">
        <f t="shared" si="27"/>
        <v>0</v>
      </c>
      <c r="AC51" s="43">
        <f t="shared" si="24"/>
        <v>0</v>
      </c>
      <c r="AD51" s="43">
        <f t="shared" si="25"/>
        <v>25</v>
      </c>
      <c r="AE51" s="43">
        <f t="shared" si="26"/>
        <v>1</v>
      </c>
    </row>
    <row r="52" spans="1:31" ht="30.75" customHeight="1">
      <c r="A52" s="58" t="s">
        <v>191</v>
      </c>
      <c r="B52" s="60" t="s">
        <v>182</v>
      </c>
      <c r="C52" s="310" t="str">
        <f>"0912-7LEK-F-"&amp;A52&amp;"-"&amp;UPPER(LEFT(B52,1))&amp;"UE"</f>
        <v>0912-7LEK-F-23-PUE</v>
      </c>
      <c r="D52" s="311"/>
      <c r="E52" s="312">
        <v>6</v>
      </c>
      <c r="F52" s="312"/>
      <c r="G52" s="55"/>
      <c r="H52" s="55"/>
      <c r="I52" s="55"/>
      <c r="J52" s="55"/>
      <c r="K52" s="55"/>
      <c r="L52" s="55"/>
      <c r="M52" s="55"/>
      <c r="N52" s="55"/>
      <c r="O52" s="55"/>
      <c r="P52" s="56">
        <v>15</v>
      </c>
      <c r="Q52" s="56">
        <v>10</v>
      </c>
      <c r="R52" s="56"/>
      <c r="S52" s="56"/>
      <c r="T52" s="56"/>
      <c r="U52" s="56"/>
      <c r="V52" s="56"/>
      <c r="W52" s="56"/>
      <c r="X52" s="56">
        <v>1</v>
      </c>
      <c r="Y52" s="43">
        <f t="shared" si="21"/>
        <v>15</v>
      </c>
      <c r="Z52" s="43">
        <f t="shared" si="22"/>
        <v>15</v>
      </c>
      <c r="AA52" s="43">
        <f t="shared" si="23"/>
        <v>0</v>
      </c>
      <c r="AB52" s="43">
        <f t="shared" si="27"/>
        <v>0</v>
      </c>
      <c r="AC52" s="43">
        <f t="shared" si="24"/>
        <v>0</v>
      </c>
      <c r="AD52" s="43">
        <f t="shared" si="25"/>
        <v>25</v>
      </c>
      <c r="AE52" s="43">
        <f t="shared" si="26"/>
        <v>1</v>
      </c>
    </row>
    <row r="53" spans="1:31" s="10" customFormat="1" ht="33.75" customHeight="1">
      <c r="A53" s="58" t="s">
        <v>192</v>
      </c>
      <c r="B53" s="296" t="s">
        <v>114</v>
      </c>
      <c r="C53" s="310" t="str">
        <f>"0912-7LEK-F-"&amp;A53&amp;"-"&amp;UPPER(LEFT(B53,1))&amp;"SMŻ"</f>
        <v>0912-7LEK-F-24-ASMŻ</v>
      </c>
      <c r="D53" s="311"/>
      <c r="E53" s="312">
        <v>6</v>
      </c>
      <c r="F53" s="312"/>
      <c r="G53" s="55"/>
      <c r="H53" s="55"/>
      <c r="I53" s="55"/>
      <c r="J53" s="55"/>
      <c r="K53" s="55"/>
      <c r="L53" s="55"/>
      <c r="M53" s="55"/>
      <c r="N53" s="399"/>
      <c r="O53" s="55"/>
      <c r="P53" s="56">
        <v>15</v>
      </c>
      <c r="Q53" s="56">
        <v>10</v>
      </c>
      <c r="R53" s="56"/>
      <c r="S53" s="56"/>
      <c r="T53" s="56"/>
      <c r="U53" s="56"/>
      <c r="V53" s="56"/>
      <c r="W53" s="56"/>
      <c r="X53" s="56">
        <v>1</v>
      </c>
      <c r="Y53" s="43">
        <f>SUM(G53,I53,K53,M53,P53,R53,T53,V53)</f>
        <v>15</v>
      </c>
      <c r="Z53" s="43">
        <f>SUM(G53,P53)</f>
        <v>15</v>
      </c>
      <c r="AA53" s="43">
        <f>SUM(I53,R53)</f>
        <v>0</v>
      </c>
      <c r="AB53" s="43">
        <f>SUM(K53,T53)</f>
        <v>0</v>
      </c>
      <c r="AC53" s="43">
        <f>SUM(M53,V53)</f>
        <v>0</v>
      </c>
      <c r="AD53" s="43">
        <f>SUM(G53:N53,P53:W53)</f>
        <v>25</v>
      </c>
      <c r="AE53" s="43">
        <f>SUM(O53,X53)</f>
        <v>1</v>
      </c>
    </row>
    <row r="54" spans="1:31" ht="21">
      <c r="A54" s="394"/>
      <c r="B54" s="394"/>
      <c r="C54" s="395"/>
      <c r="D54" s="396"/>
      <c r="E54" s="396"/>
      <c r="F54" s="396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</row>
    <row r="55" spans="1:31" ht="21">
      <c r="A55" s="394"/>
      <c r="B55" s="394"/>
      <c r="C55" s="395"/>
      <c r="D55" s="396"/>
      <c r="E55" s="396"/>
      <c r="F55" s="396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</row>
    <row r="56" spans="1:31" ht="21">
      <c r="A56" s="394"/>
      <c r="B56" s="394"/>
      <c r="C56" s="395"/>
      <c r="D56" s="396"/>
      <c r="E56" s="396"/>
      <c r="F56" s="396"/>
      <c r="G56" s="400"/>
      <c r="H56" s="400"/>
      <c r="I56" s="400"/>
      <c r="J56" s="400"/>
      <c r="K56" s="297" t="s">
        <v>123</v>
      </c>
      <c r="L56" s="400"/>
      <c r="M56" s="400"/>
      <c r="N56" s="400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</row>
    <row r="57" spans="1:31" ht="21">
      <c r="A57" s="394"/>
      <c r="B57" s="394"/>
      <c r="C57" s="395"/>
      <c r="D57" s="396"/>
      <c r="E57" s="396"/>
      <c r="F57" s="396"/>
      <c r="G57" s="400"/>
      <c r="H57" s="400"/>
      <c r="I57" s="400"/>
      <c r="J57" s="400"/>
      <c r="K57" s="400"/>
      <c r="L57" s="400"/>
      <c r="M57" s="400"/>
      <c r="N57" s="400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</row>
    <row r="58" spans="1:31" ht="21">
      <c r="A58" s="394"/>
      <c r="B58" s="394"/>
      <c r="C58" s="395"/>
      <c r="D58" s="396"/>
      <c r="E58" s="396"/>
      <c r="F58" s="396"/>
      <c r="G58" s="400"/>
      <c r="H58" s="400"/>
      <c r="I58" s="400"/>
      <c r="J58" s="400"/>
      <c r="K58" s="400"/>
      <c r="L58" s="400"/>
      <c r="M58" s="400"/>
      <c r="N58" s="400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</row>
    <row r="59" spans="1:31" ht="21">
      <c r="A59" s="394"/>
      <c r="B59" s="394"/>
      <c r="C59" s="395"/>
      <c r="D59" s="396"/>
      <c r="E59" s="396"/>
      <c r="F59" s="396"/>
      <c r="G59" s="400"/>
      <c r="H59" s="400"/>
      <c r="I59" s="400"/>
      <c r="J59" s="400"/>
      <c r="K59" s="400"/>
      <c r="L59" s="400"/>
      <c r="M59" s="400"/>
      <c r="N59" s="400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</row>
    <row r="60" spans="1:31" ht="21">
      <c r="A60" s="391"/>
      <c r="B60" s="297" t="s">
        <v>339</v>
      </c>
      <c r="C60" s="297"/>
      <c r="D60" s="297"/>
      <c r="E60" s="297"/>
      <c r="F60" s="297"/>
      <c r="G60" s="297"/>
      <c r="H60" s="297"/>
      <c r="I60" s="297"/>
      <c r="J60" s="297"/>
      <c r="K60" s="383"/>
      <c r="L60" s="383"/>
      <c r="M60" s="383"/>
      <c r="N60" s="383"/>
      <c r="O60" s="383"/>
      <c r="P60" s="383"/>
      <c r="Q60" s="383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383"/>
      <c r="AC60" s="383"/>
      <c r="AD60" s="383"/>
      <c r="AE60" s="383"/>
    </row>
    <row r="61" spans="1:31" ht="21">
      <c r="A61" s="402"/>
      <c r="B61" s="297" t="s">
        <v>472</v>
      </c>
      <c r="C61" s="297"/>
      <c r="D61" s="297"/>
      <c r="E61" s="297"/>
      <c r="F61" s="297"/>
      <c r="G61" s="297"/>
      <c r="H61" s="297"/>
      <c r="I61" s="297"/>
      <c r="J61" s="297"/>
      <c r="K61" s="383"/>
      <c r="L61" s="383"/>
      <c r="M61" s="383"/>
      <c r="N61" s="383"/>
      <c r="O61" s="383"/>
      <c r="P61" s="383"/>
      <c r="Q61" s="383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383"/>
      <c r="AC61" s="383"/>
      <c r="AD61" s="383"/>
      <c r="AE61" s="383"/>
    </row>
    <row r="62" spans="1:31" ht="21">
      <c r="A62" s="404"/>
      <c r="B62" s="403" t="s">
        <v>376</v>
      </c>
      <c r="C62" s="403"/>
      <c r="D62" s="403"/>
      <c r="E62" s="403"/>
      <c r="F62" s="403"/>
      <c r="G62" s="403"/>
      <c r="H62" s="403"/>
      <c r="I62" s="297"/>
      <c r="J62" s="297"/>
      <c r="K62" s="383"/>
      <c r="L62" s="383"/>
      <c r="M62" s="383"/>
      <c r="N62" s="383"/>
      <c r="O62" s="383"/>
      <c r="P62" s="383"/>
      <c r="Q62" s="383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05"/>
      <c r="AC62" s="405"/>
      <c r="AD62" s="405"/>
      <c r="AE62" s="405"/>
    </row>
    <row r="63" spans="1:31" ht="21">
      <c r="A63" s="406"/>
      <c r="B63" s="403" t="s">
        <v>466</v>
      </c>
      <c r="C63" s="403"/>
      <c r="D63" s="403"/>
      <c r="E63" s="403"/>
      <c r="F63" s="403"/>
      <c r="G63" s="403"/>
      <c r="H63" s="403"/>
      <c r="I63" s="297"/>
      <c r="J63" s="297"/>
      <c r="K63" s="383"/>
      <c r="L63" s="383"/>
      <c r="M63" s="383"/>
      <c r="N63" s="383"/>
      <c r="O63" s="383"/>
      <c r="P63" s="383"/>
      <c r="Q63" s="383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383"/>
      <c r="AC63" s="383"/>
      <c r="AD63" s="383"/>
      <c r="AE63" s="383"/>
    </row>
    <row r="64" spans="1:31" ht="21">
      <c r="A64" s="382"/>
      <c r="B64" s="403" t="s">
        <v>474</v>
      </c>
      <c r="C64" s="403"/>
      <c r="D64" s="403"/>
      <c r="E64" s="403"/>
      <c r="F64" s="403"/>
      <c r="G64" s="403"/>
      <c r="H64" s="403"/>
      <c r="I64" s="297"/>
      <c r="J64" s="297"/>
      <c r="K64" s="383"/>
      <c r="L64" s="383"/>
      <c r="M64" s="383"/>
      <c r="N64" s="383"/>
      <c r="O64" s="383"/>
      <c r="P64" s="383"/>
      <c r="Q64" s="383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383"/>
      <c r="AC64" s="383"/>
      <c r="AD64" s="383"/>
      <c r="AE64" s="383"/>
    </row>
    <row r="65" spans="1:27" ht="21">
      <c r="A65" s="2"/>
      <c r="B65" s="297" t="s">
        <v>467</v>
      </c>
      <c r="C65" s="297"/>
      <c r="D65" s="403"/>
      <c r="E65" s="403"/>
      <c r="F65" s="403"/>
      <c r="G65" s="403"/>
      <c r="H65" s="403"/>
      <c r="I65" s="297"/>
      <c r="J65" s="297"/>
      <c r="K65" s="383"/>
      <c r="L65" s="383"/>
      <c r="M65" s="383"/>
      <c r="N65" s="383"/>
      <c r="O65" s="383"/>
      <c r="P65" s="383"/>
      <c r="Q65" s="383"/>
      <c r="R65" s="469"/>
      <c r="S65" s="469"/>
      <c r="T65" s="469"/>
      <c r="U65" s="469"/>
      <c r="V65" s="469"/>
      <c r="W65" s="469"/>
      <c r="X65" s="469"/>
      <c r="Y65" s="469"/>
      <c r="Z65" s="469"/>
      <c r="AA65" s="469"/>
    </row>
    <row r="66" spans="1:27" ht="21">
      <c r="A66" s="2"/>
      <c r="B66" s="403" t="s">
        <v>468</v>
      </c>
      <c r="C66" s="403"/>
      <c r="D66" s="403"/>
      <c r="E66" s="403"/>
      <c r="F66" s="403"/>
      <c r="G66" s="403"/>
      <c r="H66" s="403"/>
      <c r="I66" s="297"/>
      <c r="J66" s="297"/>
      <c r="K66" s="383"/>
      <c r="L66" s="383"/>
      <c r="M66" s="383"/>
      <c r="N66" s="383"/>
      <c r="O66" s="383"/>
      <c r="P66" s="383"/>
      <c r="Q66" s="383"/>
      <c r="R66" s="469"/>
      <c r="S66" s="469"/>
      <c r="T66" s="469"/>
      <c r="U66" s="469"/>
      <c r="V66" s="469"/>
      <c r="W66" s="469"/>
      <c r="X66" s="469"/>
      <c r="Y66" s="469"/>
      <c r="Z66" s="469"/>
      <c r="AA66" s="469"/>
    </row>
    <row r="67" spans="1:27" ht="21">
      <c r="A67" s="2"/>
      <c r="B67" s="403" t="s">
        <v>469</v>
      </c>
      <c r="C67" s="403"/>
      <c r="D67" s="403"/>
      <c r="E67" s="403"/>
      <c r="F67" s="403"/>
      <c r="G67" s="403"/>
      <c r="H67" s="403"/>
      <c r="I67" s="297"/>
      <c r="J67" s="297"/>
      <c r="K67" s="383"/>
      <c r="L67" s="383"/>
      <c r="M67" s="383"/>
      <c r="N67" s="383"/>
      <c r="O67" s="383"/>
      <c r="P67" s="383"/>
      <c r="Q67" s="383"/>
      <c r="R67" s="469"/>
      <c r="S67" s="469"/>
      <c r="T67" s="469"/>
      <c r="U67" s="469"/>
      <c r="V67" s="469"/>
      <c r="W67" s="469"/>
      <c r="X67" s="469"/>
      <c r="Y67" s="469"/>
      <c r="Z67" s="469"/>
      <c r="AA67" s="469"/>
    </row>
    <row r="68" spans="1:27" ht="21">
      <c r="A68" s="4"/>
      <c r="B68" s="403" t="s">
        <v>473</v>
      </c>
      <c r="C68" s="403"/>
      <c r="D68" s="403"/>
      <c r="E68" s="403"/>
      <c r="F68" s="403"/>
      <c r="G68" s="403"/>
      <c r="H68" s="403"/>
      <c r="I68" s="297"/>
      <c r="J68" s="297"/>
      <c r="K68" s="383"/>
      <c r="L68" s="383"/>
      <c r="M68" s="383"/>
      <c r="N68" s="383"/>
      <c r="O68" s="383"/>
      <c r="P68" s="383"/>
      <c r="Q68" s="383"/>
      <c r="R68" s="469"/>
      <c r="S68" s="469"/>
      <c r="T68" s="469"/>
      <c r="U68" s="469"/>
      <c r="V68" s="469"/>
      <c r="W68" s="469"/>
      <c r="X68" s="469"/>
      <c r="Y68" s="469"/>
      <c r="Z68" s="469"/>
      <c r="AA68" s="469"/>
    </row>
    <row r="69" spans="1:27" ht="21">
      <c r="A69" s="5"/>
      <c r="B69" s="297" t="s">
        <v>377</v>
      </c>
      <c r="C69" s="383"/>
      <c r="D69" s="383"/>
      <c r="E69" s="383"/>
      <c r="F69" s="383"/>
      <c r="G69" s="383"/>
      <c r="H69" s="383"/>
      <c r="I69" s="292"/>
      <c r="J69" s="292"/>
      <c r="K69" s="292"/>
      <c r="L69" s="292"/>
      <c r="M69" s="292"/>
      <c r="N69" s="292"/>
      <c r="O69" s="292"/>
      <c r="P69" s="292"/>
      <c r="Q69" s="292"/>
      <c r="R69" s="469"/>
      <c r="S69" s="469"/>
      <c r="T69" s="469"/>
      <c r="U69" s="469"/>
      <c r="V69" s="469"/>
      <c r="W69" s="469"/>
      <c r="X69" s="469"/>
      <c r="Y69" s="469"/>
      <c r="Z69" s="469"/>
      <c r="AA69" s="469"/>
    </row>
    <row r="70" spans="1:27" ht="21">
      <c r="B70" s="297" t="s">
        <v>378</v>
      </c>
      <c r="C70" s="383"/>
      <c r="D70" s="383"/>
      <c r="E70" s="383"/>
      <c r="F70" s="383"/>
      <c r="G70" s="383"/>
      <c r="H70" s="383"/>
      <c r="I70" s="292"/>
      <c r="J70" s="292"/>
      <c r="K70" s="292"/>
      <c r="L70" s="292"/>
      <c r="M70" s="292"/>
      <c r="N70" s="292"/>
      <c r="O70" s="292"/>
      <c r="P70" s="292"/>
      <c r="Q70" s="292"/>
      <c r="R70" s="469"/>
      <c r="S70" s="469"/>
      <c r="T70" s="469"/>
      <c r="U70" s="469"/>
      <c r="V70" s="469"/>
      <c r="W70" s="469"/>
      <c r="X70" s="469"/>
      <c r="Y70" s="469"/>
      <c r="Z70" s="469"/>
      <c r="AA70" s="469"/>
    </row>
    <row r="71" spans="1:27" ht="21">
      <c r="B71" s="403" t="s">
        <v>379</v>
      </c>
      <c r="C71" s="383"/>
      <c r="D71" s="383"/>
      <c r="E71" s="383"/>
      <c r="F71" s="383"/>
      <c r="G71" s="345"/>
      <c r="H71" s="383"/>
      <c r="I71" s="292"/>
      <c r="J71" s="292"/>
      <c r="K71" s="292"/>
      <c r="L71" s="292"/>
      <c r="M71" s="292"/>
      <c r="N71" s="292"/>
      <c r="O71" s="292"/>
      <c r="P71" s="292"/>
      <c r="Q71" s="292"/>
      <c r="R71" s="469"/>
      <c r="S71" s="469"/>
      <c r="T71" s="469"/>
      <c r="U71" s="469"/>
      <c r="V71" s="469"/>
      <c r="W71" s="469"/>
      <c r="X71" s="469"/>
      <c r="Y71" s="469"/>
      <c r="Z71" s="469"/>
      <c r="AA71" s="469"/>
    </row>
    <row r="72" spans="1:27" ht="21">
      <c r="B72" s="297" t="s">
        <v>380</v>
      </c>
      <c r="C72" s="383"/>
      <c r="D72" s="383"/>
      <c r="E72" s="383"/>
      <c r="F72" s="383"/>
      <c r="G72" s="383"/>
      <c r="H72" s="383"/>
      <c r="I72" s="292"/>
      <c r="J72" s="292"/>
      <c r="K72" s="292"/>
      <c r="L72" s="292"/>
      <c r="M72" s="292"/>
      <c r="N72" s="292"/>
      <c r="O72" s="292"/>
      <c r="P72" s="292"/>
      <c r="Q72" s="292"/>
      <c r="R72" s="469"/>
      <c r="S72" s="469"/>
      <c r="T72" s="469"/>
      <c r="U72" s="469"/>
      <c r="V72" s="469"/>
      <c r="W72" s="469"/>
      <c r="X72" s="469"/>
      <c r="Y72" s="469"/>
      <c r="Z72" s="469"/>
      <c r="AA72" s="469"/>
    </row>
    <row r="73" spans="1:27" ht="21">
      <c r="B73" s="403" t="s">
        <v>381</v>
      </c>
      <c r="C73" s="383"/>
      <c r="D73" s="383"/>
      <c r="E73" s="383"/>
      <c r="F73" s="383"/>
      <c r="G73" s="383"/>
      <c r="H73" s="383"/>
      <c r="I73" s="468"/>
      <c r="J73" s="468"/>
      <c r="K73" s="468"/>
      <c r="L73" s="468"/>
      <c r="M73" s="468"/>
      <c r="N73" s="468"/>
      <c r="O73" s="468"/>
      <c r="P73" s="468"/>
      <c r="Q73" s="468"/>
      <c r="R73" s="469"/>
      <c r="S73" s="469"/>
      <c r="T73" s="469"/>
      <c r="U73" s="469"/>
      <c r="V73" s="469"/>
      <c r="W73" s="469"/>
      <c r="X73" s="469"/>
      <c r="Y73" s="469"/>
      <c r="Z73" s="469"/>
      <c r="AA73" s="469"/>
    </row>
    <row r="74" spans="1:27" ht="21">
      <c r="B74" s="297" t="s">
        <v>447</v>
      </c>
      <c r="C74" s="383"/>
      <c r="D74" s="383"/>
      <c r="E74" s="383"/>
      <c r="F74" s="383"/>
      <c r="G74" s="383"/>
      <c r="H74" s="383"/>
      <c r="I74" s="292"/>
      <c r="J74" s="292"/>
      <c r="K74" s="292"/>
      <c r="L74" s="292"/>
      <c r="M74" s="292"/>
      <c r="N74" s="292"/>
      <c r="O74" s="292"/>
      <c r="P74" s="292"/>
      <c r="Q74" s="292"/>
      <c r="R74" s="469"/>
      <c r="S74" s="469"/>
      <c r="T74" s="469"/>
      <c r="U74" s="469"/>
      <c r="V74" s="469"/>
      <c r="W74" s="469"/>
      <c r="X74" s="469"/>
      <c r="Y74" s="469"/>
      <c r="Z74" s="469"/>
      <c r="AA74" s="469"/>
    </row>
    <row r="75" spans="1:27" ht="21">
      <c r="B75" s="403" t="s">
        <v>382</v>
      </c>
      <c r="C75" s="468"/>
      <c r="D75" s="468"/>
      <c r="E75" s="468"/>
      <c r="F75" s="468"/>
      <c r="G75" s="26"/>
      <c r="H75" s="468"/>
      <c r="I75" s="292"/>
      <c r="J75" s="292"/>
      <c r="K75" s="292"/>
      <c r="L75" s="292"/>
      <c r="M75" s="292"/>
      <c r="N75" s="292"/>
      <c r="O75" s="292"/>
      <c r="P75" s="292"/>
      <c r="Q75" s="292"/>
      <c r="R75" s="469"/>
      <c r="S75" s="469"/>
      <c r="T75" s="469"/>
      <c r="U75" s="469"/>
      <c r="V75" s="469"/>
      <c r="W75" s="469"/>
      <c r="X75" s="469"/>
      <c r="Y75" s="469"/>
      <c r="Z75" s="469"/>
      <c r="AA75" s="469"/>
    </row>
    <row r="76" spans="1:27" ht="21">
      <c r="B76" s="469"/>
      <c r="C76" s="469"/>
      <c r="D76" s="469"/>
      <c r="E76" s="469"/>
      <c r="F76" s="469"/>
      <c r="G76" s="469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469"/>
      <c r="Z76" s="469"/>
      <c r="AA76" s="469"/>
    </row>
    <row r="77" spans="1:27" ht="21">
      <c r="B77" s="469"/>
      <c r="C77" s="339" t="s">
        <v>471</v>
      </c>
      <c r="D77" s="475"/>
      <c r="E77" s="475"/>
      <c r="F77" s="475"/>
      <c r="G77" s="476"/>
      <c r="H77" s="476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</row>
  </sheetData>
  <mergeCells count="50"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  <mergeCell ref="G54:R55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24:F24"/>
    <mergeCell ref="A21:F21"/>
    <mergeCell ref="A1:AD1"/>
    <mergeCell ref="A2:B2"/>
    <mergeCell ref="H2:P2"/>
    <mergeCell ref="A3:B3"/>
    <mergeCell ref="AC6:AC9"/>
    <mergeCell ref="A14:F14"/>
    <mergeCell ref="A4:R4"/>
    <mergeCell ref="A40:F40"/>
    <mergeCell ref="A39:F39"/>
    <mergeCell ref="A27:F27"/>
    <mergeCell ref="B32:C32"/>
    <mergeCell ref="B37:C37"/>
    <mergeCell ref="B38:C38"/>
    <mergeCell ref="B33:C33"/>
    <mergeCell ref="A30:F30"/>
    <mergeCell ref="B35:C35"/>
    <mergeCell ref="B34:C34"/>
    <mergeCell ref="B36:C3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zoomScale="80" zoomScaleNormal="80" zoomScaleSheetLayoutView="8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16" sqref="A16:XFD16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10" customFormat="1" ht="42.75" customHeight="1">
      <c r="A1" s="552" t="s">
        <v>401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42"/>
    </row>
    <row r="2" spans="1:32" s="10" customFormat="1" ht="42.75" customHeight="1">
      <c r="A2" s="534" t="s">
        <v>356</v>
      </c>
      <c r="B2" s="534"/>
      <c r="C2" s="346" t="s">
        <v>357</v>
      </c>
      <c r="D2" s="332"/>
      <c r="E2" s="347"/>
      <c r="F2" s="347"/>
      <c r="G2" s="347"/>
      <c r="H2" s="535" t="s">
        <v>146</v>
      </c>
      <c r="I2" s="535"/>
      <c r="J2" s="535"/>
      <c r="K2" s="535"/>
      <c r="L2" s="535"/>
      <c r="M2" s="535"/>
      <c r="N2" s="535"/>
      <c r="O2" s="535"/>
      <c r="P2" s="535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46"/>
    </row>
    <row r="3" spans="1:32" s="10" customFormat="1" ht="42.75" customHeight="1">
      <c r="A3" s="536" t="s">
        <v>358</v>
      </c>
      <c r="B3" s="536"/>
      <c r="C3" s="349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46"/>
    </row>
    <row r="4" spans="1:32" s="10" customFormat="1" ht="28.5" customHeight="1">
      <c r="A4" s="572" t="s">
        <v>347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41"/>
    </row>
    <row r="5" spans="1:32" ht="15" customHeight="1">
      <c r="A5" s="584"/>
      <c r="B5" s="585"/>
      <c r="C5" s="585"/>
      <c r="D5" s="585"/>
      <c r="E5" s="585"/>
      <c r="F5" s="586"/>
      <c r="G5" s="587" t="s">
        <v>103</v>
      </c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9"/>
      <c r="AF5" s="38"/>
    </row>
    <row r="6" spans="1:32" ht="15" customHeight="1">
      <c r="A6" s="495" t="s">
        <v>0</v>
      </c>
      <c r="B6" s="493" t="s">
        <v>4</v>
      </c>
      <c r="C6" s="493" t="s">
        <v>1</v>
      </c>
      <c r="D6" s="562" t="s">
        <v>8</v>
      </c>
      <c r="E6" s="562"/>
      <c r="F6" s="562"/>
      <c r="G6" s="590" t="s">
        <v>106</v>
      </c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2"/>
      <c r="Y6" s="499" t="s">
        <v>5</v>
      </c>
      <c r="Z6" s="499" t="s">
        <v>89</v>
      </c>
      <c r="AA6" s="499" t="s">
        <v>88</v>
      </c>
      <c r="AB6" s="499" t="s">
        <v>94</v>
      </c>
      <c r="AC6" s="499" t="s">
        <v>90</v>
      </c>
      <c r="AD6" s="499" t="s">
        <v>14</v>
      </c>
      <c r="AE6" s="499" t="s">
        <v>6</v>
      </c>
    </row>
    <row r="7" spans="1:32" ht="15" customHeight="1">
      <c r="A7" s="495"/>
      <c r="B7" s="493"/>
      <c r="C7" s="493"/>
      <c r="D7" s="562"/>
      <c r="E7" s="562"/>
      <c r="F7" s="562"/>
      <c r="G7" s="507" t="s">
        <v>99</v>
      </c>
      <c r="H7" s="508"/>
      <c r="I7" s="508"/>
      <c r="J7" s="508"/>
      <c r="K7" s="508"/>
      <c r="L7" s="508"/>
      <c r="M7" s="508"/>
      <c r="N7" s="508"/>
      <c r="O7" s="509"/>
      <c r="P7" s="502" t="s">
        <v>100</v>
      </c>
      <c r="Q7" s="518"/>
      <c r="R7" s="518"/>
      <c r="S7" s="518"/>
      <c r="T7" s="518"/>
      <c r="U7" s="518"/>
      <c r="V7" s="518"/>
      <c r="W7" s="518"/>
      <c r="X7" s="503"/>
      <c r="Y7" s="500"/>
      <c r="Z7" s="500"/>
      <c r="AA7" s="500"/>
      <c r="AB7" s="500"/>
      <c r="AC7" s="500"/>
      <c r="AD7" s="500"/>
      <c r="AE7" s="500"/>
    </row>
    <row r="8" spans="1:32" ht="19.5" customHeight="1">
      <c r="A8" s="496"/>
      <c r="B8" s="491"/>
      <c r="C8" s="491"/>
      <c r="D8" s="491" t="s">
        <v>2</v>
      </c>
      <c r="E8" s="491" t="s">
        <v>13</v>
      </c>
      <c r="F8" s="491" t="s">
        <v>12</v>
      </c>
      <c r="G8" s="507" t="s">
        <v>348</v>
      </c>
      <c r="H8" s="509"/>
      <c r="I8" s="507" t="s">
        <v>349</v>
      </c>
      <c r="J8" s="509"/>
      <c r="K8" s="507" t="s">
        <v>350</v>
      </c>
      <c r="L8" s="509"/>
      <c r="M8" s="507" t="s">
        <v>351</v>
      </c>
      <c r="N8" s="509"/>
      <c r="O8" s="522" t="s">
        <v>7</v>
      </c>
      <c r="P8" s="502" t="s">
        <v>348</v>
      </c>
      <c r="Q8" s="503"/>
      <c r="R8" s="502" t="s">
        <v>349</v>
      </c>
      <c r="S8" s="503"/>
      <c r="T8" s="502" t="s">
        <v>350</v>
      </c>
      <c r="U8" s="503"/>
      <c r="V8" s="502" t="s">
        <v>351</v>
      </c>
      <c r="W8" s="503"/>
      <c r="X8" s="504" t="s">
        <v>7</v>
      </c>
      <c r="Y8" s="500"/>
      <c r="Z8" s="500"/>
      <c r="AA8" s="500"/>
      <c r="AB8" s="500"/>
      <c r="AC8" s="500"/>
      <c r="AD8" s="500"/>
      <c r="AE8" s="500"/>
    </row>
    <row r="9" spans="1:32" ht="50.25" customHeight="1">
      <c r="A9" s="496"/>
      <c r="B9" s="491"/>
      <c r="C9" s="491"/>
      <c r="D9" s="581"/>
      <c r="E9" s="581"/>
      <c r="F9" s="581"/>
      <c r="G9" s="408" t="s">
        <v>15</v>
      </c>
      <c r="H9" s="408" t="s">
        <v>16</v>
      </c>
      <c r="I9" s="408" t="s">
        <v>15</v>
      </c>
      <c r="J9" s="408" t="s">
        <v>16</v>
      </c>
      <c r="K9" s="408" t="s">
        <v>15</v>
      </c>
      <c r="L9" s="408" t="s">
        <v>16</v>
      </c>
      <c r="M9" s="408" t="s">
        <v>15</v>
      </c>
      <c r="N9" s="408" t="s">
        <v>16</v>
      </c>
      <c r="O9" s="593"/>
      <c r="P9" s="409" t="s">
        <v>15</v>
      </c>
      <c r="Q9" s="409" t="s">
        <v>16</v>
      </c>
      <c r="R9" s="409" t="s">
        <v>15</v>
      </c>
      <c r="S9" s="409" t="s">
        <v>16</v>
      </c>
      <c r="T9" s="409" t="s">
        <v>15</v>
      </c>
      <c r="U9" s="409" t="s">
        <v>16</v>
      </c>
      <c r="V9" s="409" t="s">
        <v>15</v>
      </c>
      <c r="W9" s="409" t="s">
        <v>16</v>
      </c>
      <c r="X9" s="582"/>
      <c r="Y9" s="500"/>
      <c r="Z9" s="500"/>
      <c r="AA9" s="500"/>
      <c r="AB9" s="500"/>
      <c r="AC9" s="500"/>
      <c r="AD9" s="500"/>
      <c r="AE9" s="500"/>
    </row>
    <row r="10" spans="1:32" ht="26.25" customHeight="1">
      <c r="A10" s="315" t="s">
        <v>419</v>
      </c>
      <c r="B10" s="316"/>
      <c r="C10" s="317"/>
      <c r="D10" s="316"/>
      <c r="E10" s="316"/>
      <c r="F10" s="316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62"/>
    </row>
    <row r="11" spans="1:32" ht="29.25" customHeight="1">
      <c r="A11" s="54">
        <v>5.0999999999999996</v>
      </c>
      <c r="B11" s="39" t="s">
        <v>51</v>
      </c>
      <c r="C11" s="310" t="str">
        <f>"0912-7LEK-C"&amp;A11&amp;"-"&amp;UPPER(LEFT(B11,1))</f>
        <v>0912-7LEK-C5.1-P</v>
      </c>
      <c r="D11" s="311">
        <v>11</v>
      </c>
      <c r="E11" s="321" t="s">
        <v>450</v>
      </c>
      <c r="F11" s="312"/>
      <c r="G11" s="55">
        <v>15</v>
      </c>
      <c r="H11" s="55">
        <v>10</v>
      </c>
      <c r="I11" s="55">
        <v>15</v>
      </c>
      <c r="J11" s="55">
        <v>35</v>
      </c>
      <c r="K11" s="55">
        <v>25</v>
      </c>
      <c r="L11" s="55"/>
      <c r="M11" s="55"/>
      <c r="N11" s="55"/>
      <c r="O11" s="55">
        <v>4</v>
      </c>
      <c r="P11" s="56">
        <v>15</v>
      </c>
      <c r="Q11" s="56">
        <v>25</v>
      </c>
      <c r="R11" s="56">
        <v>25</v>
      </c>
      <c r="S11" s="56">
        <v>25</v>
      </c>
      <c r="T11" s="56">
        <v>35</v>
      </c>
      <c r="U11" s="56"/>
      <c r="V11" s="56"/>
      <c r="W11" s="56"/>
      <c r="X11" s="56">
        <v>5</v>
      </c>
      <c r="Y11" s="43">
        <f>SUM(Z11:AC11)</f>
        <v>130</v>
      </c>
      <c r="Z11" s="43">
        <f t="shared" ref="Z11:Z18" si="0">SUM(G11,P11)</f>
        <v>30</v>
      </c>
      <c r="AA11" s="43">
        <f t="shared" ref="AA11:AA18" si="1">SUM(I11,R11)</f>
        <v>40</v>
      </c>
      <c r="AB11" s="43">
        <f t="shared" ref="AB11:AB18" si="2">SUM(K11,T11)</f>
        <v>60</v>
      </c>
      <c r="AC11" s="43">
        <f t="shared" ref="AC11:AC18" si="3">SUM(M11,V11)</f>
        <v>0</v>
      </c>
      <c r="AD11" s="43">
        <f>SUM(G11:N11,P11:W11)</f>
        <v>225</v>
      </c>
      <c r="AE11" s="43">
        <f t="shared" ref="AE11:AE18" si="4">SUM(O11,X11)</f>
        <v>9</v>
      </c>
    </row>
    <row r="12" spans="1:32" ht="27.75" customHeight="1">
      <c r="A12" s="54">
        <v>5.2</v>
      </c>
      <c r="B12" s="39" t="s">
        <v>80</v>
      </c>
      <c r="C12" s="310" t="str">
        <f t="shared" ref="C12:C17" si="5">"0912-7LEK-C"&amp;A12&amp;"-"&amp;UPPER(LEFT(B12,1))</f>
        <v>0912-7LEK-C5.2-C</v>
      </c>
      <c r="D12" s="311">
        <v>11</v>
      </c>
      <c r="E12" s="321" t="s">
        <v>475</v>
      </c>
      <c r="F12" s="312"/>
      <c r="G12" s="55">
        <v>15</v>
      </c>
      <c r="H12" s="55">
        <v>10</v>
      </c>
      <c r="I12" s="55">
        <v>15</v>
      </c>
      <c r="J12" s="55">
        <v>10</v>
      </c>
      <c r="K12" s="55">
        <v>25</v>
      </c>
      <c r="L12" s="55"/>
      <c r="M12" s="55"/>
      <c r="N12" s="55"/>
      <c r="O12" s="55">
        <v>3</v>
      </c>
      <c r="P12" s="56">
        <v>15</v>
      </c>
      <c r="Q12" s="56">
        <v>20</v>
      </c>
      <c r="R12" s="56">
        <v>15</v>
      </c>
      <c r="S12" s="56">
        <v>10</v>
      </c>
      <c r="T12" s="56">
        <v>15</v>
      </c>
      <c r="U12" s="56"/>
      <c r="V12" s="56"/>
      <c r="W12" s="56"/>
      <c r="X12" s="56">
        <v>3</v>
      </c>
      <c r="Y12" s="43">
        <f t="shared" ref="Y12:Y18" si="6">SUM(Z12:AC12)</f>
        <v>100</v>
      </c>
      <c r="Z12" s="43">
        <f t="shared" si="0"/>
        <v>30</v>
      </c>
      <c r="AA12" s="43">
        <f t="shared" si="1"/>
        <v>30</v>
      </c>
      <c r="AB12" s="43">
        <f t="shared" si="2"/>
        <v>40</v>
      </c>
      <c r="AC12" s="43">
        <f t="shared" si="3"/>
        <v>0</v>
      </c>
      <c r="AD12" s="43">
        <f t="shared" ref="AD12:AD18" si="7">SUM(G12:N12,P12:W12)</f>
        <v>150</v>
      </c>
      <c r="AE12" s="43">
        <f t="shared" si="4"/>
        <v>6</v>
      </c>
    </row>
    <row r="13" spans="1:32" ht="24" customHeight="1">
      <c r="A13" s="54">
        <v>5.4</v>
      </c>
      <c r="B13" s="39" t="s">
        <v>53</v>
      </c>
      <c r="C13" s="310" t="str">
        <f t="shared" si="5"/>
        <v>0912-7LEK-C5.4-N</v>
      </c>
      <c r="D13" s="311">
        <v>7</v>
      </c>
      <c r="E13" s="312">
        <v>7</v>
      </c>
      <c r="F13" s="312"/>
      <c r="G13" s="55">
        <v>15</v>
      </c>
      <c r="H13" s="55">
        <v>10</v>
      </c>
      <c r="I13" s="55">
        <v>15</v>
      </c>
      <c r="J13" s="55">
        <v>30</v>
      </c>
      <c r="K13" s="55">
        <v>30</v>
      </c>
      <c r="L13" s="55"/>
      <c r="M13" s="55"/>
      <c r="N13" s="55"/>
      <c r="O13" s="55">
        <v>4</v>
      </c>
      <c r="P13" s="56"/>
      <c r="Q13" s="56"/>
      <c r="R13" s="56"/>
      <c r="S13" s="56"/>
      <c r="T13" s="56"/>
      <c r="U13" s="56"/>
      <c r="V13" s="56"/>
      <c r="W13" s="56"/>
      <c r="X13" s="56"/>
      <c r="Y13" s="43">
        <f t="shared" si="6"/>
        <v>60</v>
      </c>
      <c r="Z13" s="43">
        <f t="shared" si="0"/>
        <v>15</v>
      </c>
      <c r="AA13" s="43">
        <f t="shared" si="1"/>
        <v>15</v>
      </c>
      <c r="AB13" s="43">
        <f t="shared" si="2"/>
        <v>30</v>
      </c>
      <c r="AC13" s="43">
        <f t="shared" si="3"/>
        <v>0</v>
      </c>
      <c r="AD13" s="43">
        <f t="shared" si="7"/>
        <v>100</v>
      </c>
      <c r="AE13" s="43">
        <f t="shared" si="4"/>
        <v>4</v>
      </c>
    </row>
    <row r="14" spans="1:32" ht="24" customHeight="1">
      <c r="A14" s="54">
        <v>5.5</v>
      </c>
      <c r="B14" s="39" t="s">
        <v>54</v>
      </c>
      <c r="C14" s="310" t="str">
        <f t="shared" si="5"/>
        <v>0912-7LEK-C5.5-P</v>
      </c>
      <c r="D14" s="311">
        <v>12</v>
      </c>
      <c r="E14" s="312">
        <v>8</v>
      </c>
      <c r="F14" s="312"/>
      <c r="G14" s="55"/>
      <c r="H14" s="55"/>
      <c r="I14" s="55"/>
      <c r="J14" s="55"/>
      <c r="K14" s="55"/>
      <c r="L14" s="55"/>
      <c r="M14" s="55"/>
      <c r="N14" s="55"/>
      <c r="O14" s="55"/>
      <c r="P14" s="56">
        <v>20</v>
      </c>
      <c r="Q14" s="56">
        <v>5</v>
      </c>
      <c r="R14" s="56">
        <v>20</v>
      </c>
      <c r="S14" s="56">
        <v>30</v>
      </c>
      <c r="T14" s="56">
        <v>25</v>
      </c>
      <c r="U14" s="56"/>
      <c r="V14" s="56"/>
      <c r="W14" s="56"/>
      <c r="X14" s="56">
        <v>4</v>
      </c>
      <c r="Y14" s="43">
        <f t="shared" si="6"/>
        <v>65</v>
      </c>
      <c r="Z14" s="43">
        <f t="shared" si="0"/>
        <v>20</v>
      </c>
      <c r="AA14" s="43">
        <f t="shared" si="1"/>
        <v>20</v>
      </c>
      <c r="AB14" s="43">
        <f t="shared" si="2"/>
        <v>25</v>
      </c>
      <c r="AC14" s="43">
        <f t="shared" si="3"/>
        <v>0</v>
      </c>
      <c r="AD14" s="43">
        <f t="shared" si="7"/>
        <v>100</v>
      </c>
      <c r="AE14" s="43">
        <f t="shared" si="4"/>
        <v>4</v>
      </c>
    </row>
    <row r="15" spans="1:32" ht="24" customHeight="1">
      <c r="A15" s="54">
        <v>5.6</v>
      </c>
      <c r="B15" s="39" t="s">
        <v>55</v>
      </c>
      <c r="C15" s="310" t="str">
        <f t="shared" si="5"/>
        <v>0912-7LEK-C5.6-O</v>
      </c>
      <c r="D15" s="311">
        <v>7</v>
      </c>
      <c r="E15" s="312">
        <v>7</v>
      </c>
      <c r="F15" s="312"/>
      <c r="G15" s="55">
        <v>15</v>
      </c>
      <c r="H15" s="55">
        <v>10</v>
      </c>
      <c r="I15" s="55">
        <v>15</v>
      </c>
      <c r="J15" s="55">
        <v>35</v>
      </c>
      <c r="K15" s="55">
        <v>25</v>
      </c>
      <c r="L15" s="55"/>
      <c r="M15" s="55"/>
      <c r="N15" s="55"/>
      <c r="O15" s="55">
        <v>4</v>
      </c>
      <c r="P15" s="56"/>
      <c r="Q15" s="56"/>
      <c r="R15" s="56"/>
      <c r="S15" s="56"/>
      <c r="T15" s="56"/>
      <c r="U15" s="56"/>
      <c r="V15" s="56"/>
      <c r="W15" s="56"/>
      <c r="X15" s="56"/>
      <c r="Y15" s="43">
        <f t="shared" si="6"/>
        <v>55</v>
      </c>
      <c r="Z15" s="43">
        <f t="shared" si="0"/>
        <v>15</v>
      </c>
      <c r="AA15" s="43">
        <f t="shared" si="1"/>
        <v>15</v>
      </c>
      <c r="AB15" s="43">
        <f t="shared" si="2"/>
        <v>25</v>
      </c>
      <c r="AC15" s="43">
        <f t="shared" si="3"/>
        <v>0</v>
      </c>
      <c r="AD15" s="43">
        <f t="shared" si="7"/>
        <v>100</v>
      </c>
      <c r="AE15" s="43">
        <f t="shared" si="4"/>
        <v>4</v>
      </c>
    </row>
    <row r="16" spans="1:32" ht="24" customHeight="1">
      <c r="A16" s="54">
        <v>5.9</v>
      </c>
      <c r="B16" s="39" t="s">
        <v>58</v>
      </c>
      <c r="C16" s="310" t="str">
        <f>RAZEM!C43</f>
        <v>0912-7LEK-C5.9-CZ</v>
      </c>
      <c r="D16" s="311">
        <v>7</v>
      </c>
      <c r="E16" s="312">
        <v>7</v>
      </c>
      <c r="F16" s="312"/>
      <c r="G16" s="55">
        <v>20</v>
      </c>
      <c r="H16" s="55">
        <v>15</v>
      </c>
      <c r="I16" s="55">
        <v>15</v>
      </c>
      <c r="J16" s="55">
        <v>10</v>
      </c>
      <c r="K16" s="55">
        <v>15</v>
      </c>
      <c r="L16" s="55"/>
      <c r="M16" s="55"/>
      <c r="N16" s="55"/>
      <c r="O16" s="55">
        <v>3</v>
      </c>
      <c r="P16" s="56"/>
      <c r="Q16" s="56"/>
      <c r="R16" s="56"/>
      <c r="S16" s="56"/>
      <c r="T16" s="56"/>
      <c r="U16" s="56"/>
      <c r="V16" s="56"/>
      <c r="W16" s="56"/>
      <c r="X16" s="56"/>
      <c r="Y16" s="43">
        <f t="shared" si="6"/>
        <v>50</v>
      </c>
      <c r="Z16" s="43">
        <f t="shared" si="0"/>
        <v>20</v>
      </c>
      <c r="AA16" s="43">
        <f t="shared" si="1"/>
        <v>15</v>
      </c>
      <c r="AB16" s="43">
        <f t="shared" si="2"/>
        <v>15</v>
      </c>
      <c r="AC16" s="43">
        <f t="shared" si="3"/>
        <v>0</v>
      </c>
      <c r="AD16" s="43">
        <f t="shared" si="7"/>
        <v>75</v>
      </c>
      <c r="AE16" s="43">
        <f t="shared" si="4"/>
        <v>3</v>
      </c>
    </row>
    <row r="17" spans="1:31" ht="24" customHeight="1">
      <c r="A17" s="58" t="s">
        <v>255</v>
      </c>
      <c r="B17" s="39" t="s">
        <v>59</v>
      </c>
      <c r="C17" s="310" t="str">
        <f t="shared" si="5"/>
        <v>0912-7LEK-C5.10-R</v>
      </c>
      <c r="D17" s="311">
        <v>7</v>
      </c>
      <c r="E17" s="312">
        <v>7</v>
      </c>
      <c r="F17" s="312"/>
      <c r="G17" s="55">
        <v>15</v>
      </c>
      <c r="H17" s="55">
        <v>10</v>
      </c>
      <c r="I17" s="55">
        <v>15</v>
      </c>
      <c r="J17" s="55">
        <v>15</v>
      </c>
      <c r="K17" s="55">
        <v>20</v>
      </c>
      <c r="L17" s="55"/>
      <c r="M17" s="55"/>
      <c r="N17" s="55"/>
      <c r="O17" s="55">
        <v>3</v>
      </c>
      <c r="P17" s="56"/>
      <c r="Q17" s="56"/>
      <c r="R17" s="56"/>
      <c r="S17" s="56"/>
      <c r="T17" s="56"/>
      <c r="U17" s="56"/>
      <c r="V17" s="56"/>
      <c r="W17" s="56"/>
      <c r="X17" s="56"/>
      <c r="Y17" s="43">
        <f t="shared" si="6"/>
        <v>50</v>
      </c>
      <c r="Z17" s="43">
        <f t="shared" si="0"/>
        <v>15</v>
      </c>
      <c r="AA17" s="43">
        <f t="shared" si="1"/>
        <v>15</v>
      </c>
      <c r="AB17" s="43">
        <f t="shared" si="2"/>
        <v>20</v>
      </c>
      <c r="AC17" s="43">
        <f t="shared" si="3"/>
        <v>0</v>
      </c>
      <c r="AD17" s="43">
        <f t="shared" si="7"/>
        <v>75</v>
      </c>
      <c r="AE17" s="43">
        <f t="shared" si="4"/>
        <v>3</v>
      </c>
    </row>
    <row r="18" spans="1:31" ht="24" customHeight="1">
      <c r="A18" s="389">
        <v>5.12</v>
      </c>
      <c r="B18" s="39" t="s">
        <v>61</v>
      </c>
      <c r="C18" s="310" t="str">
        <f>RAZEM!C46</f>
        <v>0912-7LEK-C5.12-FK</v>
      </c>
      <c r="D18" s="311">
        <v>8</v>
      </c>
      <c r="E18" s="312">
        <v>8</v>
      </c>
      <c r="F18" s="312"/>
      <c r="G18" s="55"/>
      <c r="H18" s="55"/>
      <c r="I18" s="55"/>
      <c r="J18" s="55"/>
      <c r="K18" s="55"/>
      <c r="L18" s="55"/>
      <c r="M18" s="55"/>
      <c r="N18" s="55"/>
      <c r="O18" s="55"/>
      <c r="P18" s="56">
        <v>30</v>
      </c>
      <c r="Q18" s="56">
        <v>20</v>
      </c>
      <c r="R18" s="56">
        <v>35</v>
      </c>
      <c r="S18" s="56">
        <v>15</v>
      </c>
      <c r="T18" s="56"/>
      <c r="U18" s="56"/>
      <c r="V18" s="56"/>
      <c r="W18" s="56"/>
      <c r="X18" s="56">
        <v>4</v>
      </c>
      <c r="Y18" s="43">
        <f t="shared" si="6"/>
        <v>65</v>
      </c>
      <c r="Z18" s="43">
        <f t="shared" si="0"/>
        <v>30</v>
      </c>
      <c r="AA18" s="43">
        <f t="shared" si="1"/>
        <v>35</v>
      </c>
      <c r="AB18" s="43">
        <f t="shared" si="2"/>
        <v>0</v>
      </c>
      <c r="AC18" s="43">
        <f t="shared" si="3"/>
        <v>0</v>
      </c>
      <c r="AD18" s="43">
        <f t="shared" si="7"/>
        <v>100</v>
      </c>
      <c r="AE18" s="43">
        <f t="shared" si="4"/>
        <v>4</v>
      </c>
    </row>
    <row r="19" spans="1:31" ht="15.75">
      <c r="A19" s="486" t="s">
        <v>9</v>
      </c>
      <c r="B19" s="487"/>
      <c r="C19" s="488"/>
      <c r="D19" s="314"/>
      <c r="E19" s="314"/>
      <c r="F19" s="314"/>
      <c r="G19" s="64">
        <f t="shared" ref="G19:AE19" si="8">SUM(G11:G18)</f>
        <v>95</v>
      </c>
      <c r="H19" s="64">
        <f t="shared" si="8"/>
        <v>65</v>
      </c>
      <c r="I19" s="64">
        <f t="shared" si="8"/>
        <v>90</v>
      </c>
      <c r="J19" s="64">
        <f t="shared" si="8"/>
        <v>135</v>
      </c>
      <c r="K19" s="64">
        <f t="shared" si="8"/>
        <v>140</v>
      </c>
      <c r="L19" s="64">
        <f t="shared" si="8"/>
        <v>0</v>
      </c>
      <c r="M19" s="64">
        <f t="shared" si="8"/>
        <v>0</v>
      </c>
      <c r="N19" s="64">
        <f t="shared" si="8"/>
        <v>0</v>
      </c>
      <c r="O19" s="64">
        <f t="shared" si="8"/>
        <v>21</v>
      </c>
      <c r="P19" s="64">
        <f t="shared" si="8"/>
        <v>80</v>
      </c>
      <c r="Q19" s="64">
        <f t="shared" si="8"/>
        <v>70</v>
      </c>
      <c r="R19" s="64">
        <f t="shared" si="8"/>
        <v>95</v>
      </c>
      <c r="S19" s="64">
        <f t="shared" si="8"/>
        <v>80</v>
      </c>
      <c r="T19" s="64">
        <f t="shared" si="8"/>
        <v>75</v>
      </c>
      <c r="U19" s="64">
        <f t="shared" si="8"/>
        <v>0</v>
      </c>
      <c r="V19" s="64">
        <f t="shared" si="8"/>
        <v>0</v>
      </c>
      <c r="W19" s="64">
        <f t="shared" si="8"/>
        <v>0</v>
      </c>
      <c r="X19" s="64">
        <f t="shared" si="8"/>
        <v>16</v>
      </c>
      <c r="Y19" s="64">
        <f t="shared" si="8"/>
        <v>575</v>
      </c>
      <c r="Z19" s="64">
        <f t="shared" si="8"/>
        <v>175</v>
      </c>
      <c r="AA19" s="64">
        <f t="shared" si="8"/>
        <v>185</v>
      </c>
      <c r="AB19" s="64">
        <f t="shared" si="8"/>
        <v>215</v>
      </c>
      <c r="AC19" s="64">
        <f t="shared" si="8"/>
        <v>0</v>
      </c>
      <c r="AD19" s="64">
        <f t="shared" si="8"/>
        <v>925</v>
      </c>
      <c r="AE19" s="64">
        <f t="shared" si="8"/>
        <v>37</v>
      </c>
    </row>
    <row r="20" spans="1:31" ht="25.5" customHeight="1">
      <c r="A20" s="315" t="s">
        <v>420</v>
      </c>
      <c r="B20" s="316"/>
      <c r="C20" s="317"/>
      <c r="D20" s="316"/>
      <c r="E20" s="316"/>
      <c r="F20" s="316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62"/>
    </row>
    <row r="21" spans="1:31" ht="25.5" customHeight="1">
      <c r="A21" s="54">
        <v>6.1</v>
      </c>
      <c r="B21" s="39" t="s">
        <v>62</v>
      </c>
      <c r="C21" s="310" t="str">
        <f>"0912-7LEK-C"&amp;A21&amp;"-"&amp;UPPER(LEFT(B21,1))&amp;"iIT"</f>
        <v>0912-7LEK-C6.1-AiIT</v>
      </c>
      <c r="D21" s="311">
        <v>8</v>
      </c>
      <c r="E21" s="312">
        <v>7.8</v>
      </c>
      <c r="F21" s="312"/>
      <c r="G21" s="55">
        <v>15</v>
      </c>
      <c r="H21" s="55">
        <v>10</v>
      </c>
      <c r="I21" s="55">
        <v>15</v>
      </c>
      <c r="J21" s="55">
        <v>10</v>
      </c>
      <c r="K21" s="55">
        <v>25</v>
      </c>
      <c r="L21" s="55"/>
      <c r="M21" s="55"/>
      <c r="N21" s="55"/>
      <c r="O21" s="55">
        <v>3</v>
      </c>
      <c r="P21" s="56">
        <v>15</v>
      </c>
      <c r="Q21" s="56">
        <v>10</v>
      </c>
      <c r="R21" s="56">
        <v>15</v>
      </c>
      <c r="S21" s="56">
        <v>0</v>
      </c>
      <c r="T21" s="56">
        <v>10</v>
      </c>
      <c r="U21" s="56"/>
      <c r="V21" s="56"/>
      <c r="W21" s="56"/>
      <c r="X21" s="56">
        <v>2</v>
      </c>
      <c r="Y21" s="43">
        <f>SUM(Z21:AC21)</f>
        <v>95</v>
      </c>
      <c r="Z21" s="43">
        <f>SUM(G21,P21)</f>
        <v>30</v>
      </c>
      <c r="AA21" s="43">
        <f>SUM(I21,R21)</f>
        <v>30</v>
      </c>
      <c r="AB21" s="43">
        <f>SUM(K21,T21)</f>
        <v>35</v>
      </c>
      <c r="AC21" s="43">
        <f>SUM(M21,V21)</f>
        <v>0</v>
      </c>
      <c r="AD21" s="43">
        <f>SUM(G21:N21,P21:W21)</f>
        <v>125</v>
      </c>
      <c r="AE21" s="43">
        <f>SUM(O21,X21)</f>
        <v>5</v>
      </c>
    </row>
    <row r="22" spans="1:31" ht="24" customHeight="1">
      <c r="A22" s="54">
        <v>6.2</v>
      </c>
      <c r="B22" s="39" t="s">
        <v>63</v>
      </c>
      <c r="C22" s="310" t="str">
        <f>"0912-7LEK-C"&amp;A22&amp;"-"&amp;UPPER(LEFT(B22,1))</f>
        <v>0912-7LEK-C6.2-C</v>
      </c>
      <c r="D22" s="311">
        <v>12</v>
      </c>
      <c r="E22" s="321" t="s">
        <v>449</v>
      </c>
      <c r="F22" s="312"/>
      <c r="G22" s="55">
        <v>15</v>
      </c>
      <c r="H22" s="55">
        <v>10</v>
      </c>
      <c r="I22" s="55">
        <v>15</v>
      </c>
      <c r="J22" s="55">
        <v>10</v>
      </c>
      <c r="K22" s="55">
        <v>25</v>
      </c>
      <c r="L22" s="55"/>
      <c r="M22" s="55"/>
      <c r="N22" s="55"/>
      <c r="O22" s="55">
        <v>3</v>
      </c>
      <c r="P22" s="56">
        <v>15</v>
      </c>
      <c r="Q22" s="56">
        <v>10</v>
      </c>
      <c r="R22" s="56">
        <v>15</v>
      </c>
      <c r="S22" s="56">
        <v>10</v>
      </c>
      <c r="T22" s="56"/>
      <c r="U22" s="56"/>
      <c r="V22" s="56"/>
      <c r="W22" s="56"/>
      <c r="X22" s="56">
        <v>2</v>
      </c>
      <c r="Y22" s="43">
        <f t="shared" ref="Y22:Y23" si="9">SUM(Z22:AC22)</f>
        <v>85</v>
      </c>
      <c r="Z22" s="43">
        <f>SUM(G22,P22)</f>
        <v>30</v>
      </c>
      <c r="AA22" s="43">
        <f>SUM(I22,R22)</f>
        <v>30</v>
      </c>
      <c r="AB22" s="43">
        <f t="shared" ref="AB22:AB23" si="10">SUM(K22,T22)</f>
        <v>25</v>
      </c>
      <c r="AC22" s="43">
        <f t="shared" ref="AC22:AC23" si="11">SUM(M22,V22)</f>
        <v>0</v>
      </c>
      <c r="AD22" s="43">
        <f>SUM(G22:N22,P22:W22)</f>
        <v>125</v>
      </c>
      <c r="AE22" s="43">
        <f>SUM(O22,X22)</f>
        <v>5</v>
      </c>
    </row>
    <row r="23" spans="1:31" ht="22.5" customHeight="1">
      <c r="A23" s="410">
        <v>6.13</v>
      </c>
      <c r="B23" s="322" t="s">
        <v>74</v>
      </c>
      <c r="C23" s="310" t="str">
        <f>RAZEM!C61</f>
        <v>0912-7LEK-C6.13-DO</v>
      </c>
      <c r="D23" s="311">
        <v>8</v>
      </c>
      <c r="E23" s="312">
        <v>8</v>
      </c>
      <c r="F23" s="312"/>
      <c r="G23" s="55"/>
      <c r="H23" s="55"/>
      <c r="I23" s="55"/>
      <c r="J23" s="55"/>
      <c r="K23" s="55"/>
      <c r="L23" s="55"/>
      <c r="M23" s="55"/>
      <c r="N23" s="55"/>
      <c r="O23" s="55"/>
      <c r="P23" s="56">
        <v>15</v>
      </c>
      <c r="Q23" s="56">
        <v>10</v>
      </c>
      <c r="R23" s="56">
        <v>15</v>
      </c>
      <c r="S23" s="56">
        <v>10</v>
      </c>
      <c r="T23" s="56">
        <v>25</v>
      </c>
      <c r="U23" s="56"/>
      <c r="V23" s="56"/>
      <c r="W23" s="56"/>
      <c r="X23" s="56">
        <v>3</v>
      </c>
      <c r="Y23" s="43">
        <f t="shared" si="9"/>
        <v>55</v>
      </c>
      <c r="Z23" s="43">
        <f>SUM(G23,P23)</f>
        <v>15</v>
      </c>
      <c r="AA23" s="43">
        <f>SUM(I23,R23)</f>
        <v>15</v>
      </c>
      <c r="AB23" s="43">
        <f t="shared" si="10"/>
        <v>25</v>
      </c>
      <c r="AC23" s="43">
        <f t="shared" si="11"/>
        <v>0</v>
      </c>
      <c r="AD23" s="43">
        <f>SUM(G23:N23,P23:W23)</f>
        <v>75</v>
      </c>
      <c r="AE23" s="43">
        <f>SUM(O23,X23)</f>
        <v>3</v>
      </c>
    </row>
    <row r="24" spans="1:31" ht="15.75">
      <c r="A24" s="486" t="s">
        <v>9</v>
      </c>
      <c r="B24" s="487"/>
      <c r="C24" s="488"/>
      <c r="D24" s="314"/>
      <c r="E24" s="314"/>
      <c r="F24" s="314"/>
      <c r="G24" s="64">
        <f t="shared" ref="G24:W24" si="12">SUM(G21:G23)</f>
        <v>30</v>
      </c>
      <c r="H24" s="64">
        <f t="shared" si="12"/>
        <v>20</v>
      </c>
      <c r="I24" s="64">
        <f t="shared" si="12"/>
        <v>30</v>
      </c>
      <c r="J24" s="64">
        <f t="shared" si="12"/>
        <v>20</v>
      </c>
      <c r="K24" s="64">
        <f t="shared" si="12"/>
        <v>50</v>
      </c>
      <c r="L24" s="64">
        <f t="shared" si="12"/>
        <v>0</v>
      </c>
      <c r="M24" s="64">
        <f t="shared" si="12"/>
        <v>0</v>
      </c>
      <c r="N24" s="64">
        <f t="shared" si="12"/>
        <v>0</v>
      </c>
      <c r="O24" s="64">
        <f>SUM(O21:O23)</f>
        <v>6</v>
      </c>
      <c r="P24" s="64">
        <f t="shared" si="12"/>
        <v>45</v>
      </c>
      <c r="Q24" s="64">
        <f t="shared" si="12"/>
        <v>30</v>
      </c>
      <c r="R24" s="64">
        <f t="shared" si="12"/>
        <v>45</v>
      </c>
      <c r="S24" s="64">
        <f t="shared" si="12"/>
        <v>20</v>
      </c>
      <c r="T24" s="64">
        <f t="shared" si="12"/>
        <v>35</v>
      </c>
      <c r="U24" s="64">
        <f t="shared" si="12"/>
        <v>0</v>
      </c>
      <c r="V24" s="64">
        <f t="shared" si="12"/>
        <v>0</v>
      </c>
      <c r="W24" s="64">
        <f t="shared" si="12"/>
        <v>0</v>
      </c>
      <c r="X24" s="64">
        <f>SUM(X21:X23)</f>
        <v>7</v>
      </c>
      <c r="Y24" s="64">
        <f t="shared" ref="Y24:AE24" si="13">SUM(Y21:Y23)</f>
        <v>235</v>
      </c>
      <c r="Z24" s="64">
        <f t="shared" si="13"/>
        <v>75</v>
      </c>
      <c r="AA24" s="64">
        <f t="shared" si="13"/>
        <v>75</v>
      </c>
      <c r="AB24" s="64">
        <f t="shared" si="13"/>
        <v>85</v>
      </c>
      <c r="AC24" s="64">
        <f t="shared" si="13"/>
        <v>0</v>
      </c>
      <c r="AD24" s="64">
        <f t="shared" si="13"/>
        <v>325</v>
      </c>
      <c r="AE24" s="64">
        <f t="shared" si="13"/>
        <v>13</v>
      </c>
    </row>
    <row r="25" spans="1:31" ht="25.5" customHeight="1">
      <c r="A25" s="315" t="s">
        <v>410</v>
      </c>
      <c r="B25" s="316"/>
      <c r="C25" s="317"/>
      <c r="D25" s="316"/>
      <c r="E25" s="316"/>
      <c r="F25" s="316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62"/>
    </row>
    <row r="26" spans="1:31" ht="30.75" customHeight="1">
      <c r="A26" s="54">
        <v>9.5</v>
      </c>
      <c r="B26" s="322" t="s">
        <v>86</v>
      </c>
      <c r="C26" s="310" t="str">
        <f>"0912-7LEK-C"&amp;A26&amp;"-"&amp;UPPER(LEFT(B26,1))&amp;"T"</f>
        <v>0912-7LEK-C9.5-IT</v>
      </c>
      <c r="D26" s="311"/>
      <c r="E26" s="312">
        <v>8</v>
      </c>
      <c r="F26" s="312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>
        <v>60</v>
      </c>
      <c r="U26" s="56"/>
      <c r="V26" s="56"/>
      <c r="W26" s="56"/>
      <c r="X26" s="56">
        <v>2</v>
      </c>
      <c r="Y26" s="43">
        <f>SUM(Z26:AC26)</f>
        <v>60</v>
      </c>
      <c r="Z26" s="43">
        <f>SUM(G26,P26)</f>
        <v>0</v>
      </c>
      <c r="AA26" s="43">
        <f>SUM(I26,R26)</f>
        <v>0</v>
      </c>
      <c r="AB26" s="43">
        <f>SUM(K26,T26)</f>
        <v>60</v>
      </c>
      <c r="AC26" s="43">
        <f>SUM(M26,V26)</f>
        <v>0</v>
      </c>
      <c r="AD26" s="43">
        <f>SUM(G26:N26,P26:W26)</f>
        <v>60</v>
      </c>
      <c r="AE26" s="43">
        <f>SUM(O26,X26)</f>
        <v>2</v>
      </c>
    </row>
    <row r="27" spans="1:31" ht="30.75" customHeight="1">
      <c r="A27" s="54">
        <v>9.6</v>
      </c>
      <c r="B27" s="322" t="s">
        <v>51</v>
      </c>
      <c r="C27" s="310" t="str">
        <f>"12.6-3LEK-C"&amp;A27&amp;"-"&amp;UPPER(LEFT(B27,1))</f>
        <v>12.6-3LEK-C9.6-P</v>
      </c>
      <c r="D27" s="311"/>
      <c r="E27" s="312">
        <v>8</v>
      </c>
      <c r="F27" s="312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6"/>
      <c r="S27" s="56"/>
      <c r="T27" s="56">
        <v>60</v>
      </c>
      <c r="U27" s="56"/>
      <c r="V27" s="56"/>
      <c r="W27" s="56"/>
      <c r="X27" s="56">
        <v>2</v>
      </c>
      <c r="Y27" s="43">
        <f>SUM(Z27:AC27)</f>
        <v>60</v>
      </c>
      <c r="Z27" s="43">
        <f>SUM(G27,P27)</f>
        <v>0</v>
      </c>
      <c r="AA27" s="43">
        <f>SUM(I27,R27)</f>
        <v>0</v>
      </c>
      <c r="AB27" s="43">
        <f>SUM(K27,T27)</f>
        <v>60</v>
      </c>
      <c r="AC27" s="43">
        <f>SUM(M27,V27)</f>
        <v>0</v>
      </c>
      <c r="AD27" s="43">
        <f>SUM(G27:N27,P27:W27)</f>
        <v>60</v>
      </c>
      <c r="AE27" s="43">
        <f>SUM(O27,X27)</f>
        <v>2</v>
      </c>
    </row>
    <row r="28" spans="1:31" ht="15.75">
      <c r="A28" s="486" t="s">
        <v>9</v>
      </c>
      <c r="B28" s="487"/>
      <c r="C28" s="488"/>
      <c r="D28" s="314"/>
      <c r="E28" s="314"/>
      <c r="F28" s="314"/>
      <c r="G28" s="64">
        <f t="shared" ref="G28:X28" si="14">SUM(G26:G27)</f>
        <v>0</v>
      </c>
      <c r="H28" s="64">
        <f t="shared" si="14"/>
        <v>0</v>
      </c>
      <c r="I28" s="64">
        <f t="shared" si="14"/>
        <v>0</v>
      </c>
      <c r="J28" s="64">
        <f t="shared" si="14"/>
        <v>0</v>
      </c>
      <c r="K28" s="64">
        <f t="shared" si="14"/>
        <v>0</v>
      </c>
      <c r="L28" s="64">
        <f t="shared" si="14"/>
        <v>0</v>
      </c>
      <c r="M28" s="64">
        <f t="shared" si="14"/>
        <v>0</v>
      </c>
      <c r="N28" s="64">
        <f t="shared" si="14"/>
        <v>0</v>
      </c>
      <c r="O28" s="64">
        <f t="shared" si="14"/>
        <v>0</v>
      </c>
      <c r="P28" s="64">
        <f t="shared" si="14"/>
        <v>0</v>
      </c>
      <c r="Q28" s="64">
        <f t="shared" si="14"/>
        <v>0</v>
      </c>
      <c r="R28" s="64">
        <f t="shared" si="14"/>
        <v>0</v>
      </c>
      <c r="S28" s="64">
        <f t="shared" si="14"/>
        <v>0</v>
      </c>
      <c r="T28" s="64">
        <f t="shared" si="14"/>
        <v>120</v>
      </c>
      <c r="U28" s="64">
        <f t="shared" si="14"/>
        <v>0</v>
      </c>
      <c r="V28" s="64">
        <f t="shared" si="14"/>
        <v>0</v>
      </c>
      <c r="W28" s="64">
        <f t="shared" si="14"/>
        <v>0</v>
      </c>
      <c r="X28" s="64">
        <f t="shared" si="14"/>
        <v>4</v>
      </c>
      <c r="Y28" s="64">
        <f t="shared" ref="Y28:AE28" si="15">SUM(Y26:Y27)</f>
        <v>120</v>
      </c>
      <c r="Z28" s="64">
        <f t="shared" si="15"/>
        <v>0</v>
      </c>
      <c r="AA28" s="64">
        <f t="shared" si="15"/>
        <v>0</v>
      </c>
      <c r="AB28" s="64">
        <f t="shared" si="15"/>
        <v>120</v>
      </c>
      <c r="AC28" s="64">
        <f t="shared" si="15"/>
        <v>0</v>
      </c>
      <c r="AD28" s="64">
        <f t="shared" si="15"/>
        <v>120</v>
      </c>
      <c r="AE28" s="64">
        <f t="shared" si="15"/>
        <v>4</v>
      </c>
    </row>
    <row r="29" spans="1:31" ht="15.75" hidden="1">
      <c r="A29" s="315" t="s">
        <v>306</v>
      </c>
      <c r="B29" s="316"/>
      <c r="C29" s="317"/>
      <c r="D29" s="361"/>
      <c r="E29" s="361"/>
      <c r="F29" s="361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62"/>
    </row>
    <row r="30" spans="1:31" ht="30.75" hidden="1" customHeight="1">
      <c r="A30" s="54">
        <v>11.3</v>
      </c>
      <c r="B30" s="18" t="s">
        <v>108</v>
      </c>
      <c r="C30" s="310" t="str">
        <f>"0912-7LEK-A"&amp;A30&amp;"-"&amp;UPPER(LEFT(B30,1))&amp;"F"</f>
        <v>0912-7LEK-A11,3-WF</v>
      </c>
      <c r="D30" s="311"/>
      <c r="E30" s="390"/>
      <c r="F30" s="312" t="s">
        <v>121</v>
      </c>
      <c r="G30" s="55"/>
      <c r="H30" s="55"/>
      <c r="I30" s="55"/>
      <c r="J30" s="55"/>
      <c r="K30" s="55"/>
      <c r="L30" s="55"/>
      <c r="M30" s="55"/>
      <c r="N30" s="55"/>
      <c r="O30" s="55">
        <v>0</v>
      </c>
      <c r="P30" s="56"/>
      <c r="Q30" s="56"/>
      <c r="R30" s="56"/>
      <c r="S30" s="56"/>
      <c r="T30" s="56"/>
      <c r="U30" s="56"/>
      <c r="V30" s="56"/>
      <c r="W30" s="56"/>
      <c r="X30" s="56">
        <v>0</v>
      </c>
      <c r="Y30" s="378">
        <f>SUM(Z30:AC30)</f>
        <v>0</v>
      </c>
      <c r="Z30" s="378">
        <f>SUM(G30,P30)</f>
        <v>0</v>
      </c>
      <c r="AA30" s="378">
        <f>SUM(I30,R30)</f>
        <v>0</v>
      </c>
      <c r="AB30" s="378">
        <f>SUM(K30,T30)</f>
        <v>0</v>
      </c>
      <c r="AC30" s="378">
        <f>SUM(M30,V30)</f>
        <v>0</v>
      </c>
      <c r="AD30" s="378">
        <f>SUM(G30:N30,P30:W30)</f>
        <v>0</v>
      </c>
      <c r="AE30" s="378">
        <f>SUM(O30,X30)</f>
        <v>0</v>
      </c>
    </row>
    <row r="31" spans="1:31" ht="15.75" hidden="1">
      <c r="A31" s="486" t="s">
        <v>9</v>
      </c>
      <c r="B31" s="487"/>
      <c r="C31" s="488"/>
      <c r="D31" s="314"/>
      <c r="E31" s="314"/>
      <c r="F31" s="314"/>
      <c r="G31" s="64">
        <f t="shared" ref="G31:X31" si="16">SUM(G30:G30)</f>
        <v>0</v>
      </c>
      <c r="H31" s="64">
        <f t="shared" si="16"/>
        <v>0</v>
      </c>
      <c r="I31" s="64">
        <f t="shared" si="16"/>
        <v>0</v>
      </c>
      <c r="J31" s="64">
        <f t="shared" si="16"/>
        <v>0</v>
      </c>
      <c r="K31" s="64">
        <f t="shared" si="16"/>
        <v>0</v>
      </c>
      <c r="L31" s="64">
        <f t="shared" si="16"/>
        <v>0</v>
      </c>
      <c r="M31" s="64">
        <f t="shared" si="16"/>
        <v>0</v>
      </c>
      <c r="N31" s="64">
        <f t="shared" si="16"/>
        <v>0</v>
      </c>
      <c r="O31" s="64">
        <f t="shared" si="16"/>
        <v>0</v>
      </c>
      <c r="P31" s="64">
        <f t="shared" si="16"/>
        <v>0</v>
      </c>
      <c r="Q31" s="64">
        <f t="shared" si="16"/>
        <v>0</v>
      </c>
      <c r="R31" s="64">
        <f t="shared" si="16"/>
        <v>0</v>
      </c>
      <c r="S31" s="64">
        <f t="shared" si="16"/>
        <v>0</v>
      </c>
      <c r="T31" s="64">
        <f t="shared" si="16"/>
        <v>0</v>
      </c>
      <c r="U31" s="64">
        <f t="shared" si="16"/>
        <v>0</v>
      </c>
      <c r="V31" s="64">
        <f t="shared" si="16"/>
        <v>0</v>
      </c>
      <c r="W31" s="64">
        <f t="shared" si="16"/>
        <v>0</v>
      </c>
      <c r="X31" s="64">
        <f t="shared" si="16"/>
        <v>0</v>
      </c>
      <c r="Y31" s="64">
        <f t="shared" ref="Y31:AE31" si="17">SUM(Y30:Y30)</f>
        <v>0</v>
      </c>
      <c r="Z31" s="64">
        <f t="shared" si="17"/>
        <v>0</v>
      </c>
      <c r="AA31" s="64">
        <f t="shared" si="17"/>
        <v>0</v>
      </c>
      <c r="AB31" s="64">
        <f t="shared" si="17"/>
        <v>0</v>
      </c>
      <c r="AC31" s="64">
        <f t="shared" si="17"/>
        <v>0</v>
      </c>
      <c r="AD31" s="64">
        <f t="shared" si="17"/>
        <v>0</v>
      </c>
      <c r="AE31" s="64">
        <f t="shared" si="17"/>
        <v>0</v>
      </c>
    </row>
    <row r="32" spans="1:31" ht="21.75" customHeight="1">
      <c r="A32" s="315" t="s">
        <v>414</v>
      </c>
      <c r="B32" s="316"/>
      <c r="C32" s="317"/>
      <c r="D32" s="316"/>
      <c r="E32" s="316"/>
      <c r="F32" s="316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62"/>
    </row>
    <row r="33" spans="1:31" ht="30" customHeight="1">
      <c r="A33" s="58" t="s">
        <v>137</v>
      </c>
      <c r="B33" s="579" t="s">
        <v>116</v>
      </c>
      <c r="C33" s="580"/>
      <c r="D33" s="311"/>
      <c r="E33" s="312">
        <v>7</v>
      </c>
      <c r="F33" s="312"/>
      <c r="G33" s="55">
        <v>15</v>
      </c>
      <c r="H33" s="55">
        <v>10</v>
      </c>
      <c r="I33" s="55"/>
      <c r="J33" s="55"/>
      <c r="K33" s="55"/>
      <c r="L33" s="55"/>
      <c r="M33" s="55"/>
      <c r="N33" s="55"/>
      <c r="O33" s="55">
        <v>1</v>
      </c>
      <c r="P33" s="56"/>
      <c r="Q33" s="56"/>
      <c r="R33" s="56"/>
      <c r="S33" s="56"/>
      <c r="T33" s="56"/>
      <c r="U33" s="56"/>
      <c r="V33" s="56"/>
      <c r="W33" s="56"/>
      <c r="X33" s="56"/>
      <c r="Y33" s="43">
        <f>SUM(Z33:AC33)</f>
        <v>15</v>
      </c>
      <c r="Z33" s="43">
        <f t="shared" ref="Z33:Z38" si="18">SUM(G33,P33)</f>
        <v>15</v>
      </c>
      <c r="AA33" s="43">
        <f t="shared" ref="AA33:AA38" si="19">SUM(I33,R33)</f>
        <v>0</v>
      </c>
      <c r="AB33" s="43">
        <f>SUM(K33,T33)</f>
        <v>0</v>
      </c>
      <c r="AC33" s="43">
        <f>SUM(M33,V33)</f>
        <v>0</v>
      </c>
      <c r="AD33" s="43">
        <f t="shared" ref="AD33:AD38" si="20">SUM(G33:N33,P33:W33)</f>
        <v>25</v>
      </c>
      <c r="AE33" s="43">
        <f t="shared" ref="AE33:AE38" si="21">SUM(O33,X33)</f>
        <v>1</v>
      </c>
    </row>
    <row r="34" spans="1:31" ht="30" customHeight="1">
      <c r="A34" s="58" t="s">
        <v>138</v>
      </c>
      <c r="B34" s="579" t="s">
        <v>116</v>
      </c>
      <c r="C34" s="580"/>
      <c r="D34" s="311"/>
      <c r="E34" s="312">
        <v>7</v>
      </c>
      <c r="F34" s="312"/>
      <c r="G34" s="55">
        <v>15</v>
      </c>
      <c r="H34" s="55">
        <v>10</v>
      </c>
      <c r="I34" s="55"/>
      <c r="J34" s="55"/>
      <c r="K34" s="55"/>
      <c r="L34" s="55"/>
      <c r="M34" s="55"/>
      <c r="N34" s="55"/>
      <c r="O34" s="55">
        <v>1</v>
      </c>
      <c r="P34" s="56"/>
      <c r="Q34" s="56"/>
      <c r="R34" s="56"/>
      <c r="S34" s="56"/>
      <c r="T34" s="56"/>
      <c r="U34" s="56"/>
      <c r="V34" s="56"/>
      <c r="W34" s="56"/>
      <c r="X34" s="56"/>
      <c r="Y34" s="43">
        <f t="shared" ref="Y34:Y38" si="22">SUM(Z34:AC34)</f>
        <v>15</v>
      </c>
      <c r="Z34" s="43">
        <f t="shared" si="18"/>
        <v>15</v>
      </c>
      <c r="AA34" s="43">
        <f t="shared" si="19"/>
        <v>0</v>
      </c>
      <c r="AB34" s="43">
        <f t="shared" ref="AB34:AB38" si="23">SUM(K34,T34)</f>
        <v>0</v>
      </c>
      <c r="AC34" s="43">
        <f t="shared" ref="AC34:AC38" si="24">SUM(M34,V34)</f>
        <v>0</v>
      </c>
      <c r="AD34" s="43">
        <f t="shared" si="20"/>
        <v>25</v>
      </c>
      <c r="AE34" s="43">
        <f t="shared" si="21"/>
        <v>1</v>
      </c>
    </row>
    <row r="35" spans="1:31" ht="30" customHeight="1">
      <c r="A35" s="58" t="s">
        <v>139</v>
      </c>
      <c r="B35" s="579" t="s">
        <v>116</v>
      </c>
      <c r="C35" s="580"/>
      <c r="D35" s="311"/>
      <c r="E35" s="312">
        <v>7</v>
      </c>
      <c r="F35" s="312"/>
      <c r="G35" s="55">
        <v>15</v>
      </c>
      <c r="H35" s="55">
        <v>10</v>
      </c>
      <c r="I35" s="55"/>
      <c r="J35" s="55"/>
      <c r="K35" s="55"/>
      <c r="L35" s="55"/>
      <c r="M35" s="55"/>
      <c r="N35" s="55"/>
      <c r="O35" s="55">
        <v>1</v>
      </c>
      <c r="P35" s="56"/>
      <c r="Q35" s="56"/>
      <c r="R35" s="56"/>
      <c r="S35" s="56"/>
      <c r="T35" s="56"/>
      <c r="U35" s="56"/>
      <c r="V35" s="56"/>
      <c r="W35" s="56"/>
      <c r="X35" s="56"/>
      <c r="Y35" s="43">
        <f t="shared" si="22"/>
        <v>15</v>
      </c>
      <c r="Z35" s="43">
        <f t="shared" si="18"/>
        <v>15</v>
      </c>
      <c r="AA35" s="43">
        <f t="shared" si="19"/>
        <v>0</v>
      </c>
      <c r="AB35" s="43">
        <f t="shared" si="23"/>
        <v>0</v>
      </c>
      <c r="AC35" s="43">
        <f t="shared" si="24"/>
        <v>0</v>
      </c>
      <c r="AD35" s="43">
        <f t="shared" si="20"/>
        <v>25</v>
      </c>
      <c r="AE35" s="43">
        <f t="shared" si="21"/>
        <v>1</v>
      </c>
    </row>
    <row r="36" spans="1:31" ht="30" customHeight="1">
      <c r="A36" s="58" t="s">
        <v>147</v>
      </c>
      <c r="B36" s="579" t="s">
        <v>116</v>
      </c>
      <c r="C36" s="580"/>
      <c r="D36" s="311"/>
      <c r="E36" s="312">
        <v>8</v>
      </c>
      <c r="F36" s="312"/>
      <c r="G36" s="55"/>
      <c r="H36" s="55"/>
      <c r="I36" s="55"/>
      <c r="J36" s="55"/>
      <c r="K36" s="55"/>
      <c r="L36" s="55"/>
      <c r="M36" s="55"/>
      <c r="N36" s="55"/>
      <c r="O36" s="55"/>
      <c r="P36" s="56">
        <v>15</v>
      </c>
      <c r="Q36" s="56">
        <v>10</v>
      </c>
      <c r="R36" s="56"/>
      <c r="S36" s="56"/>
      <c r="T36" s="56"/>
      <c r="U36" s="56"/>
      <c r="V36" s="56"/>
      <c r="W36" s="56"/>
      <c r="X36" s="56">
        <v>1</v>
      </c>
      <c r="Y36" s="43">
        <f t="shared" si="22"/>
        <v>15</v>
      </c>
      <c r="Z36" s="43">
        <f t="shared" si="18"/>
        <v>15</v>
      </c>
      <c r="AA36" s="43">
        <f t="shared" si="19"/>
        <v>0</v>
      </c>
      <c r="AB36" s="43">
        <f t="shared" si="23"/>
        <v>0</v>
      </c>
      <c r="AC36" s="43">
        <f t="shared" si="24"/>
        <v>0</v>
      </c>
      <c r="AD36" s="43">
        <f t="shared" si="20"/>
        <v>25</v>
      </c>
      <c r="AE36" s="43">
        <f t="shared" si="21"/>
        <v>1</v>
      </c>
    </row>
    <row r="37" spans="1:31" ht="30" customHeight="1">
      <c r="A37" s="58" t="s">
        <v>148</v>
      </c>
      <c r="B37" s="579" t="s">
        <v>116</v>
      </c>
      <c r="C37" s="580"/>
      <c r="D37" s="311"/>
      <c r="E37" s="312">
        <v>8</v>
      </c>
      <c r="F37" s="312"/>
      <c r="G37" s="55"/>
      <c r="H37" s="55"/>
      <c r="I37" s="55"/>
      <c r="J37" s="55"/>
      <c r="K37" s="55"/>
      <c r="L37" s="55"/>
      <c r="M37" s="55"/>
      <c r="N37" s="55"/>
      <c r="O37" s="55"/>
      <c r="P37" s="56">
        <v>15</v>
      </c>
      <c r="Q37" s="56">
        <v>10</v>
      </c>
      <c r="R37" s="56"/>
      <c r="S37" s="56"/>
      <c r="T37" s="56"/>
      <c r="U37" s="56"/>
      <c r="V37" s="56"/>
      <c r="W37" s="56"/>
      <c r="X37" s="56">
        <v>1</v>
      </c>
      <c r="Y37" s="43">
        <f t="shared" si="22"/>
        <v>15</v>
      </c>
      <c r="Z37" s="43">
        <f t="shared" si="18"/>
        <v>15</v>
      </c>
      <c r="AA37" s="43">
        <f t="shared" si="19"/>
        <v>0</v>
      </c>
      <c r="AB37" s="43">
        <f t="shared" si="23"/>
        <v>0</v>
      </c>
      <c r="AC37" s="43">
        <f t="shared" si="24"/>
        <v>0</v>
      </c>
      <c r="AD37" s="43">
        <f t="shared" si="20"/>
        <v>25</v>
      </c>
      <c r="AE37" s="43">
        <f t="shared" si="21"/>
        <v>1</v>
      </c>
    </row>
    <row r="38" spans="1:31" ht="30" customHeight="1">
      <c r="A38" s="58" t="s">
        <v>149</v>
      </c>
      <c r="B38" s="579" t="s">
        <v>116</v>
      </c>
      <c r="C38" s="580"/>
      <c r="D38" s="311"/>
      <c r="E38" s="312">
        <v>8</v>
      </c>
      <c r="F38" s="312"/>
      <c r="G38" s="55"/>
      <c r="H38" s="55"/>
      <c r="I38" s="55"/>
      <c r="J38" s="55"/>
      <c r="K38" s="55"/>
      <c r="L38" s="55"/>
      <c r="M38" s="55"/>
      <c r="N38" s="55"/>
      <c r="O38" s="55"/>
      <c r="P38" s="56">
        <v>15</v>
      </c>
      <c r="Q38" s="56">
        <v>10</v>
      </c>
      <c r="R38" s="56"/>
      <c r="S38" s="56"/>
      <c r="T38" s="56"/>
      <c r="U38" s="56"/>
      <c r="V38" s="56"/>
      <c r="W38" s="56"/>
      <c r="X38" s="56">
        <v>1</v>
      </c>
      <c r="Y38" s="43">
        <f t="shared" si="22"/>
        <v>15</v>
      </c>
      <c r="Z38" s="43">
        <f t="shared" si="18"/>
        <v>15</v>
      </c>
      <c r="AA38" s="43">
        <f t="shared" si="19"/>
        <v>0</v>
      </c>
      <c r="AB38" s="43">
        <f t="shared" si="23"/>
        <v>0</v>
      </c>
      <c r="AC38" s="43">
        <f t="shared" si="24"/>
        <v>0</v>
      </c>
      <c r="AD38" s="43">
        <f t="shared" si="20"/>
        <v>25</v>
      </c>
      <c r="AE38" s="43">
        <f t="shared" si="21"/>
        <v>1</v>
      </c>
    </row>
    <row r="39" spans="1:31" ht="28.5" customHeight="1" thickBot="1">
      <c r="A39" s="531" t="s">
        <v>9</v>
      </c>
      <c r="B39" s="532"/>
      <c r="C39" s="533"/>
      <c r="D39" s="314"/>
      <c r="E39" s="411"/>
      <c r="F39" s="411"/>
      <c r="G39" s="64">
        <f t="shared" ref="G39:X39" si="25">SUM(G33:G38)</f>
        <v>45</v>
      </c>
      <c r="H39" s="64">
        <f t="shared" si="25"/>
        <v>30</v>
      </c>
      <c r="I39" s="64">
        <f t="shared" si="25"/>
        <v>0</v>
      </c>
      <c r="J39" s="64">
        <f t="shared" si="25"/>
        <v>0</v>
      </c>
      <c r="K39" s="64">
        <f t="shared" si="25"/>
        <v>0</v>
      </c>
      <c r="L39" s="64">
        <f t="shared" si="25"/>
        <v>0</v>
      </c>
      <c r="M39" s="64">
        <f t="shared" si="25"/>
        <v>0</v>
      </c>
      <c r="N39" s="64">
        <f t="shared" si="25"/>
        <v>0</v>
      </c>
      <c r="O39" s="64">
        <f t="shared" si="25"/>
        <v>3</v>
      </c>
      <c r="P39" s="64">
        <f t="shared" si="25"/>
        <v>45</v>
      </c>
      <c r="Q39" s="64">
        <f t="shared" si="25"/>
        <v>30</v>
      </c>
      <c r="R39" s="64">
        <f>SUM(R33:R38)</f>
        <v>0</v>
      </c>
      <c r="S39" s="64">
        <f t="shared" si="25"/>
        <v>0</v>
      </c>
      <c r="T39" s="64">
        <f t="shared" si="25"/>
        <v>0</v>
      </c>
      <c r="U39" s="64">
        <f t="shared" si="25"/>
        <v>0</v>
      </c>
      <c r="V39" s="64">
        <f t="shared" si="25"/>
        <v>0</v>
      </c>
      <c r="W39" s="64">
        <f t="shared" si="25"/>
        <v>0</v>
      </c>
      <c r="X39" s="64">
        <f t="shared" si="25"/>
        <v>3</v>
      </c>
      <c r="Y39" s="64">
        <f t="shared" ref="Y39:AE39" si="26">SUM(Y33:Y38)</f>
        <v>90</v>
      </c>
      <c r="Z39" s="64">
        <f t="shared" si="26"/>
        <v>90</v>
      </c>
      <c r="AA39" s="64">
        <f t="shared" si="26"/>
        <v>0</v>
      </c>
      <c r="AB39" s="64">
        <f t="shared" si="26"/>
        <v>0</v>
      </c>
      <c r="AC39" s="64">
        <f t="shared" si="26"/>
        <v>0</v>
      </c>
      <c r="AD39" s="64">
        <f t="shared" si="26"/>
        <v>150</v>
      </c>
      <c r="AE39" s="64">
        <f t="shared" si="26"/>
        <v>6</v>
      </c>
    </row>
    <row r="40" spans="1:31" ht="27" customHeight="1" thickBot="1">
      <c r="A40" s="480" t="s">
        <v>21</v>
      </c>
      <c r="B40" s="481"/>
      <c r="C40" s="482"/>
      <c r="D40" s="412"/>
      <c r="E40" s="412"/>
      <c r="F40" s="412"/>
      <c r="G40" s="327">
        <f t="shared" ref="G40:N40" si="27">SUM(G19,G24,G28,G31,G39)</f>
        <v>170</v>
      </c>
      <c r="H40" s="327">
        <f t="shared" si="27"/>
        <v>115</v>
      </c>
      <c r="I40" s="327">
        <f t="shared" si="27"/>
        <v>120</v>
      </c>
      <c r="J40" s="327">
        <f t="shared" si="27"/>
        <v>155</v>
      </c>
      <c r="K40" s="327">
        <f t="shared" si="27"/>
        <v>190</v>
      </c>
      <c r="L40" s="327">
        <f t="shared" si="27"/>
        <v>0</v>
      </c>
      <c r="M40" s="327">
        <f t="shared" si="27"/>
        <v>0</v>
      </c>
      <c r="N40" s="327">
        <f t="shared" si="27"/>
        <v>0</v>
      </c>
      <c r="O40" s="327">
        <f>SUM(O39,O31,O28,O24,O19,)</f>
        <v>30</v>
      </c>
      <c r="P40" s="327">
        <f>SUM(P19,P24,P28,P31,P39)</f>
        <v>170</v>
      </c>
      <c r="Q40" s="327">
        <f>SUM(Q19,Q24,Q28,Q31,Q39)</f>
        <v>130</v>
      </c>
      <c r="R40" s="327">
        <f t="shared" ref="R40:AC40" si="28">SUM(R19,R24,R28,R31,R39)</f>
        <v>140</v>
      </c>
      <c r="S40" s="327">
        <f t="shared" si="28"/>
        <v>100</v>
      </c>
      <c r="T40" s="327">
        <f t="shared" si="28"/>
        <v>230</v>
      </c>
      <c r="U40" s="327">
        <f t="shared" si="28"/>
        <v>0</v>
      </c>
      <c r="V40" s="327">
        <f t="shared" si="28"/>
        <v>0</v>
      </c>
      <c r="W40" s="327">
        <f t="shared" si="28"/>
        <v>0</v>
      </c>
      <c r="X40" s="327">
        <f>SUM(X39,X31,X28,X24,X19,)</f>
        <v>30</v>
      </c>
      <c r="Y40" s="327">
        <f>SUM(Y39,Y31,Y28,Y24,Y19,)</f>
        <v>1020</v>
      </c>
      <c r="Z40" s="327">
        <f>SUM(Z39,Z31,Z28,Z24,Z19,)</f>
        <v>340</v>
      </c>
      <c r="AA40" s="327">
        <f>SUM(AA39,AA31,AA28,AA24,AA19,)</f>
        <v>260</v>
      </c>
      <c r="AB40" s="327">
        <f>SUM(AB39,AB31,AB28,AB24,AB19,)</f>
        <v>420</v>
      </c>
      <c r="AC40" s="327">
        <f t="shared" si="28"/>
        <v>0</v>
      </c>
      <c r="AD40" s="327">
        <f>SUM(AD39,AD31,AD28,AD24,AD19,)</f>
        <v>1520</v>
      </c>
      <c r="AE40" s="327">
        <f>SUM(AE39,AE31,AE28,AE24,AE19,)</f>
        <v>60</v>
      </c>
    </row>
    <row r="41" spans="1:31">
      <c r="A41" s="391"/>
      <c r="B41" s="392"/>
      <c r="C41" s="382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</row>
    <row r="42" spans="1:31" s="1" customFormat="1" ht="18">
      <c r="A42" s="583" t="s">
        <v>360</v>
      </c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</row>
    <row r="43" spans="1:31" ht="30.75" customHeight="1">
      <c r="A43" s="58" t="s">
        <v>193</v>
      </c>
      <c r="B43" s="60" t="s">
        <v>158</v>
      </c>
      <c r="C43" s="310" t="str">
        <f>"0912-7LEK-F"&amp;A43&amp;"-"&amp;UPPER(LEFT(B43,1))</f>
        <v>0912-7LEK-F25-D</v>
      </c>
      <c r="D43" s="311"/>
      <c r="E43" s="312">
        <v>7</v>
      </c>
      <c r="F43" s="312"/>
      <c r="G43" s="55">
        <v>15</v>
      </c>
      <c r="H43" s="55">
        <v>10</v>
      </c>
      <c r="I43" s="55"/>
      <c r="J43" s="55"/>
      <c r="K43" s="55"/>
      <c r="L43" s="55"/>
      <c r="M43" s="55"/>
      <c r="N43" s="55"/>
      <c r="O43" s="55">
        <v>1</v>
      </c>
      <c r="P43" s="56"/>
      <c r="Q43" s="56"/>
      <c r="R43" s="56"/>
      <c r="S43" s="56"/>
      <c r="T43" s="56"/>
      <c r="U43" s="56"/>
      <c r="V43" s="56"/>
      <c r="W43" s="56"/>
      <c r="X43" s="56"/>
      <c r="Y43" s="43">
        <f>SUM(G43,I43,K43,M43,P43,R43,T43,V43)</f>
        <v>15</v>
      </c>
      <c r="Z43" s="43">
        <f>SUM(G43,P43)</f>
        <v>15</v>
      </c>
      <c r="AA43" s="43">
        <f>SUM(I43,R43)</f>
        <v>0</v>
      </c>
      <c r="AB43" s="43">
        <f>SUM(J43,S43)</f>
        <v>0</v>
      </c>
      <c r="AC43" s="43">
        <f>SUM(N43,W43)</f>
        <v>0</v>
      </c>
      <c r="AD43" s="43">
        <f>SUM(G43:N43,P43:W43)</f>
        <v>25</v>
      </c>
      <c r="AE43" s="43">
        <f>SUM(O43,X43)</f>
        <v>1</v>
      </c>
    </row>
    <row r="44" spans="1:31" ht="30.75" customHeight="1">
      <c r="A44" s="58" t="s">
        <v>205</v>
      </c>
      <c r="B44" s="60" t="s">
        <v>156</v>
      </c>
      <c r="C44" s="310" t="str">
        <f>"0912-7LEK-F"&amp;A44&amp;"-"&amp;UPPER(LEFT(B44,1))</f>
        <v>0912-7LEK-F26-F</v>
      </c>
      <c r="D44" s="311"/>
      <c r="E44" s="312">
        <v>7</v>
      </c>
      <c r="F44" s="312"/>
      <c r="G44" s="55">
        <v>15</v>
      </c>
      <c r="H44" s="55">
        <v>10</v>
      </c>
      <c r="I44" s="55"/>
      <c r="J44" s="55"/>
      <c r="K44" s="55"/>
      <c r="L44" s="55"/>
      <c r="M44" s="55"/>
      <c r="N44" s="55"/>
      <c r="O44" s="55">
        <v>1</v>
      </c>
      <c r="P44" s="56"/>
      <c r="Q44" s="56"/>
      <c r="R44" s="56"/>
      <c r="S44" s="56"/>
      <c r="T44" s="56"/>
      <c r="U44" s="56"/>
      <c r="V44" s="56"/>
      <c r="W44" s="56"/>
      <c r="X44" s="56"/>
      <c r="Y44" s="43">
        <f t="shared" ref="Y44:Y51" si="29">SUM(G44,I44,K44,M44,P44,R44,T44,V44)</f>
        <v>15</v>
      </c>
      <c r="Z44" s="43">
        <f t="shared" ref="Z44:Z51" si="30">SUM(G44,P44)</f>
        <v>15</v>
      </c>
      <c r="AA44" s="43">
        <f t="shared" ref="AA44:AA51" si="31">SUM(I44,R44)</f>
        <v>0</v>
      </c>
      <c r="AB44" s="43">
        <f t="shared" ref="AB44:AB51" si="32">SUM(J44,S44)</f>
        <v>0</v>
      </c>
      <c r="AC44" s="43">
        <f t="shared" ref="AC44:AC50" si="33">SUM(N44,W44)</f>
        <v>0</v>
      </c>
      <c r="AD44" s="43">
        <f t="shared" ref="AD44:AD51" si="34">SUM(G44:N44,P44:W44)</f>
        <v>25</v>
      </c>
      <c r="AE44" s="43">
        <f t="shared" ref="AE44:AE51" si="35">SUM(O44,X44)</f>
        <v>1</v>
      </c>
    </row>
    <row r="45" spans="1:31" ht="30.75" customHeight="1">
      <c r="A45" s="58" t="s">
        <v>206</v>
      </c>
      <c r="B45" s="60" t="s">
        <v>157</v>
      </c>
      <c r="C45" s="310" t="str">
        <f t="shared" ref="C45:C51" si="36">"0912-7LEK-F"&amp;A45&amp;"-"&amp;UPPER(LEFT(B45,1))</f>
        <v>0912-7LEK-F27-Z</v>
      </c>
      <c r="D45" s="311"/>
      <c r="E45" s="312">
        <v>7</v>
      </c>
      <c r="F45" s="312"/>
      <c r="G45" s="55">
        <v>15</v>
      </c>
      <c r="H45" s="55">
        <v>10</v>
      </c>
      <c r="I45" s="55"/>
      <c r="J45" s="55"/>
      <c r="K45" s="55"/>
      <c r="L45" s="55"/>
      <c r="M45" s="55"/>
      <c r="N45" s="55"/>
      <c r="O45" s="55">
        <v>1</v>
      </c>
      <c r="P45" s="56"/>
      <c r="Q45" s="56"/>
      <c r="R45" s="56"/>
      <c r="S45" s="56"/>
      <c r="T45" s="56"/>
      <c r="U45" s="56"/>
      <c r="V45" s="56"/>
      <c r="W45" s="56"/>
      <c r="X45" s="56"/>
      <c r="Y45" s="43">
        <f t="shared" si="29"/>
        <v>15</v>
      </c>
      <c r="Z45" s="43">
        <f t="shared" si="30"/>
        <v>15</v>
      </c>
      <c r="AA45" s="43">
        <f t="shared" si="31"/>
        <v>0</v>
      </c>
      <c r="AB45" s="43">
        <f t="shared" si="32"/>
        <v>0</v>
      </c>
      <c r="AC45" s="43">
        <f t="shared" si="33"/>
        <v>0</v>
      </c>
      <c r="AD45" s="43">
        <f t="shared" si="34"/>
        <v>25</v>
      </c>
      <c r="AE45" s="43">
        <f t="shared" si="35"/>
        <v>1</v>
      </c>
    </row>
    <row r="46" spans="1:31" ht="30.75" customHeight="1">
      <c r="A46" s="58" t="s">
        <v>207</v>
      </c>
      <c r="B46" s="60" t="s">
        <v>151</v>
      </c>
      <c r="C46" s="310" t="str">
        <f>"0912-7LEK-F"&amp;A46&amp;"-"&amp;UPPER(LEFT(B46,1))</f>
        <v>0912-7LEK-F28-C</v>
      </c>
      <c r="D46" s="311"/>
      <c r="E46" s="312">
        <v>8</v>
      </c>
      <c r="F46" s="312"/>
      <c r="G46" s="55"/>
      <c r="H46" s="55"/>
      <c r="I46" s="55"/>
      <c r="J46" s="55"/>
      <c r="K46" s="55"/>
      <c r="L46" s="55"/>
      <c r="M46" s="55"/>
      <c r="N46" s="55"/>
      <c r="O46" s="55"/>
      <c r="P46" s="56">
        <v>15</v>
      </c>
      <c r="Q46" s="56">
        <v>10</v>
      </c>
      <c r="R46" s="56"/>
      <c r="S46" s="56"/>
      <c r="T46" s="56"/>
      <c r="U46" s="56"/>
      <c r="V46" s="56"/>
      <c r="W46" s="56"/>
      <c r="X46" s="56"/>
      <c r="Y46" s="43">
        <f t="shared" si="29"/>
        <v>15</v>
      </c>
      <c r="Z46" s="43">
        <f t="shared" si="30"/>
        <v>15</v>
      </c>
      <c r="AA46" s="43">
        <f t="shared" si="31"/>
        <v>0</v>
      </c>
      <c r="AB46" s="43">
        <f t="shared" si="32"/>
        <v>0</v>
      </c>
      <c r="AC46" s="43">
        <f t="shared" si="33"/>
        <v>0</v>
      </c>
      <c r="AD46" s="43">
        <f t="shared" si="34"/>
        <v>25</v>
      </c>
      <c r="AE46" s="43">
        <v>1</v>
      </c>
    </row>
    <row r="47" spans="1:31" ht="30.75" customHeight="1">
      <c r="A47" s="58" t="s">
        <v>208</v>
      </c>
      <c r="B47" s="60" t="s">
        <v>152</v>
      </c>
      <c r="C47" s="310" t="str">
        <f>"0912-7LEK-F"&amp;A47&amp;"-"&amp;UPPER(LEFT(B47,1))</f>
        <v>0912-7LEK-F29-P</v>
      </c>
      <c r="D47" s="311"/>
      <c r="E47" s="312">
        <v>8</v>
      </c>
      <c r="F47" s="312"/>
      <c r="G47" s="55"/>
      <c r="H47" s="55"/>
      <c r="I47" s="55"/>
      <c r="J47" s="55"/>
      <c r="K47" s="55"/>
      <c r="L47" s="55"/>
      <c r="M47" s="55"/>
      <c r="N47" s="55"/>
      <c r="O47" s="55"/>
      <c r="P47" s="56">
        <v>15</v>
      </c>
      <c r="Q47" s="56">
        <v>10</v>
      </c>
      <c r="R47" s="56"/>
      <c r="S47" s="56"/>
      <c r="T47" s="56"/>
      <c r="U47" s="56"/>
      <c r="V47" s="56"/>
      <c r="W47" s="56"/>
      <c r="X47" s="56">
        <v>1</v>
      </c>
      <c r="Y47" s="43">
        <f t="shared" si="29"/>
        <v>15</v>
      </c>
      <c r="Z47" s="43">
        <f t="shared" si="30"/>
        <v>15</v>
      </c>
      <c r="AA47" s="43">
        <f t="shared" si="31"/>
        <v>0</v>
      </c>
      <c r="AB47" s="43">
        <f t="shared" si="32"/>
        <v>0</v>
      </c>
      <c r="AC47" s="43">
        <f t="shared" si="33"/>
        <v>0</v>
      </c>
      <c r="AD47" s="43">
        <f t="shared" si="34"/>
        <v>25</v>
      </c>
      <c r="AE47" s="43">
        <f t="shared" si="35"/>
        <v>1</v>
      </c>
    </row>
    <row r="48" spans="1:31" ht="30.75" customHeight="1">
      <c r="A48" s="58" t="s">
        <v>250</v>
      </c>
      <c r="B48" s="60" t="s">
        <v>154</v>
      </c>
      <c r="C48" s="310" t="str">
        <f>"0912-7LEK-F"&amp;A48&amp;"-"&amp;UPPER(LEFT(B48,1))</f>
        <v>0912-7LEK-F30-T</v>
      </c>
      <c r="D48" s="311"/>
      <c r="E48" s="312">
        <v>8</v>
      </c>
      <c r="F48" s="312"/>
      <c r="G48" s="55"/>
      <c r="H48" s="55"/>
      <c r="I48" s="55"/>
      <c r="J48" s="55"/>
      <c r="K48" s="55"/>
      <c r="L48" s="55"/>
      <c r="M48" s="55"/>
      <c r="N48" s="55"/>
      <c r="O48" s="55"/>
      <c r="P48" s="56">
        <v>15</v>
      </c>
      <c r="Q48" s="56">
        <v>10</v>
      </c>
      <c r="R48" s="56"/>
      <c r="S48" s="56"/>
      <c r="T48" s="56"/>
      <c r="U48" s="56"/>
      <c r="V48" s="56"/>
      <c r="W48" s="56"/>
      <c r="X48" s="56">
        <v>1</v>
      </c>
      <c r="Y48" s="43">
        <f t="shared" si="29"/>
        <v>15</v>
      </c>
      <c r="Z48" s="43">
        <f t="shared" si="30"/>
        <v>15</v>
      </c>
      <c r="AA48" s="43">
        <f t="shared" si="31"/>
        <v>0</v>
      </c>
      <c r="AB48" s="43">
        <f t="shared" si="32"/>
        <v>0</v>
      </c>
      <c r="AC48" s="43">
        <f t="shared" si="33"/>
        <v>0</v>
      </c>
      <c r="AD48" s="43">
        <f t="shared" si="34"/>
        <v>25</v>
      </c>
      <c r="AE48" s="43">
        <f t="shared" si="35"/>
        <v>1</v>
      </c>
    </row>
    <row r="49" spans="1:31" ht="30.75" customHeight="1">
      <c r="A49" s="58" t="s">
        <v>209</v>
      </c>
      <c r="B49" s="60" t="s">
        <v>159</v>
      </c>
      <c r="C49" s="310" t="str">
        <f>"0912-7LEK-F"&amp;A49&amp;"-"&amp;UPPER(LEFT(B49,1))</f>
        <v>0912-7LEK-F31-C</v>
      </c>
      <c r="D49" s="311"/>
      <c r="E49" s="312">
        <v>8</v>
      </c>
      <c r="F49" s="312"/>
      <c r="G49" s="55"/>
      <c r="H49" s="55"/>
      <c r="I49" s="55"/>
      <c r="J49" s="55"/>
      <c r="K49" s="55"/>
      <c r="L49" s="55"/>
      <c r="M49" s="55"/>
      <c r="N49" s="55"/>
      <c r="O49" s="55"/>
      <c r="P49" s="56">
        <v>15</v>
      </c>
      <c r="Q49" s="56">
        <v>10</v>
      </c>
      <c r="R49" s="56"/>
      <c r="S49" s="56"/>
      <c r="T49" s="56"/>
      <c r="U49" s="56"/>
      <c r="V49" s="56"/>
      <c r="W49" s="56"/>
      <c r="X49" s="56">
        <v>1</v>
      </c>
      <c r="Y49" s="43">
        <f t="shared" si="29"/>
        <v>15</v>
      </c>
      <c r="Z49" s="43">
        <f t="shared" si="30"/>
        <v>15</v>
      </c>
      <c r="AA49" s="43">
        <f t="shared" si="31"/>
        <v>0</v>
      </c>
      <c r="AB49" s="43">
        <f t="shared" si="32"/>
        <v>0</v>
      </c>
      <c r="AC49" s="43">
        <f t="shared" si="33"/>
        <v>0</v>
      </c>
      <c r="AD49" s="43">
        <f t="shared" si="34"/>
        <v>25</v>
      </c>
      <c r="AE49" s="43">
        <f t="shared" si="35"/>
        <v>1</v>
      </c>
    </row>
    <row r="50" spans="1:31" ht="30.75" customHeight="1">
      <c r="A50" s="58" t="s">
        <v>210</v>
      </c>
      <c r="B50" s="60" t="s">
        <v>155</v>
      </c>
      <c r="C50" s="310" t="str">
        <f t="shared" si="36"/>
        <v>0912-7LEK-F32-C</v>
      </c>
      <c r="D50" s="311"/>
      <c r="E50" s="312">
        <v>8</v>
      </c>
      <c r="F50" s="312"/>
      <c r="G50" s="55"/>
      <c r="H50" s="55"/>
      <c r="I50" s="55"/>
      <c r="J50" s="55"/>
      <c r="K50" s="55"/>
      <c r="L50" s="55"/>
      <c r="M50" s="55"/>
      <c r="N50" s="55"/>
      <c r="O50" s="55"/>
      <c r="P50" s="56">
        <v>15</v>
      </c>
      <c r="Q50" s="56">
        <v>10</v>
      </c>
      <c r="R50" s="56"/>
      <c r="S50" s="56"/>
      <c r="T50" s="56"/>
      <c r="U50" s="56"/>
      <c r="V50" s="56"/>
      <c r="W50" s="56"/>
      <c r="X50" s="56">
        <v>1</v>
      </c>
      <c r="Y50" s="43">
        <f t="shared" si="29"/>
        <v>15</v>
      </c>
      <c r="Z50" s="43">
        <f t="shared" si="30"/>
        <v>15</v>
      </c>
      <c r="AA50" s="43">
        <f t="shared" si="31"/>
        <v>0</v>
      </c>
      <c r="AB50" s="43">
        <f t="shared" si="32"/>
        <v>0</v>
      </c>
      <c r="AC50" s="43">
        <f t="shared" si="33"/>
        <v>0</v>
      </c>
      <c r="AD50" s="43">
        <f t="shared" si="34"/>
        <v>25</v>
      </c>
      <c r="AE50" s="43">
        <f t="shared" si="35"/>
        <v>1</v>
      </c>
    </row>
    <row r="51" spans="1:31" ht="30.75" customHeight="1">
      <c r="A51" s="58" t="s">
        <v>211</v>
      </c>
      <c r="B51" s="60" t="s">
        <v>153</v>
      </c>
      <c r="C51" s="310" t="str">
        <f t="shared" si="36"/>
        <v>0912-7LEK-F33-E</v>
      </c>
      <c r="D51" s="311"/>
      <c r="E51" s="312">
        <v>8</v>
      </c>
      <c r="F51" s="312"/>
      <c r="G51" s="55">
        <v>15</v>
      </c>
      <c r="H51" s="55">
        <v>10</v>
      </c>
      <c r="I51" s="55"/>
      <c r="J51" s="55"/>
      <c r="K51" s="55"/>
      <c r="L51" s="55"/>
      <c r="M51" s="55"/>
      <c r="N51" s="55"/>
      <c r="O51" s="55">
        <v>1</v>
      </c>
      <c r="P51" s="56"/>
      <c r="Q51" s="56"/>
      <c r="R51" s="56"/>
      <c r="S51" s="56"/>
      <c r="T51" s="56"/>
      <c r="U51" s="56"/>
      <c r="V51" s="56"/>
      <c r="W51" s="56"/>
      <c r="X51" s="56"/>
      <c r="Y51" s="43">
        <f t="shared" si="29"/>
        <v>15</v>
      </c>
      <c r="Z51" s="43">
        <f t="shared" si="30"/>
        <v>15</v>
      </c>
      <c r="AA51" s="43">
        <f t="shared" si="31"/>
        <v>0</v>
      </c>
      <c r="AB51" s="43">
        <f t="shared" si="32"/>
        <v>0</v>
      </c>
      <c r="AC51" s="43">
        <f>SUM(L51,U51)</f>
        <v>0</v>
      </c>
      <c r="AD51" s="43">
        <f t="shared" si="34"/>
        <v>25</v>
      </c>
      <c r="AE51" s="43">
        <f t="shared" si="35"/>
        <v>1</v>
      </c>
    </row>
    <row r="52" spans="1:31" ht="30.75" customHeight="1">
      <c r="A52" s="394"/>
      <c r="B52" s="394"/>
      <c r="C52" s="395"/>
      <c r="D52" s="396"/>
      <c r="E52" s="396"/>
      <c r="F52" s="396"/>
      <c r="G52" s="383"/>
      <c r="H52" s="407"/>
      <c r="I52" s="8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383"/>
      <c r="Z52" s="383"/>
      <c r="AA52" s="383"/>
      <c r="AB52" s="383"/>
      <c r="AC52" s="383"/>
      <c r="AD52" s="383"/>
      <c r="AE52" s="383"/>
    </row>
    <row r="53" spans="1:31" ht="21">
      <c r="A53" s="394"/>
      <c r="B53" s="394"/>
      <c r="C53" s="395"/>
      <c r="D53" s="396"/>
      <c r="E53" s="396"/>
      <c r="F53" s="396"/>
      <c r="G53" s="383"/>
      <c r="H53" s="407"/>
      <c r="I53" s="8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383"/>
      <c r="Z53" s="383"/>
      <c r="AA53" s="383"/>
      <c r="AB53" s="383"/>
      <c r="AC53" s="383"/>
      <c r="AD53" s="383"/>
      <c r="AE53" s="383"/>
    </row>
    <row r="54" spans="1:31" ht="21">
      <c r="A54" s="394"/>
      <c r="B54" s="394"/>
      <c r="C54" s="395"/>
      <c r="D54" s="396"/>
      <c r="E54" s="396"/>
      <c r="F54" s="396"/>
      <c r="G54" s="383"/>
      <c r="H54" s="407"/>
      <c r="I54" s="8"/>
      <c r="J54" s="407"/>
      <c r="K54" s="407"/>
      <c r="L54" s="297" t="s">
        <v>123</v>
      </c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383"/>
      <c r="Z54" s="383"/>
      <c r="AA54" s="383"/>
      <c r="AB54" s="383"/>
      <c r="AC54" s="383"/>
      <c r="AD54" s="383"/>
      <c r="AE54" s="383"/>
    </row>
    <row r="55" spans="1:31" ht="21">
      <c r="A55" s="394"/>
      <c r="B55" s="394"/>
      <c r="C55" s="395"/>
      <c r="D55" s="396"/>
      <c r="E55" s="396"/>
      <c r="F55" s="396"/>
      <c r="G55" s="383"/>
      <c r="H55" s="407"/>
      <c r="I55" s="8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383"/>
      <c r="Z55" s="383"/>
      <c r="AA55" s="383"/>
      <c r="AB55" s="383"/>
      <c r="AC55" s="383"/>
      <c r="AD55" s="383"/>
      <c r="AE55" s="383"/>
    </row>
    <row r="56" spans="1:31" ht="21">
      <c r="A56" s="391"/>
      <c r="B56" s="381"/>
      <c r="C56" s="401"/>
      <c r="D56" s="396"/>
      <c r="E56" s="396"/>
      <c r="F56" s="396"/>
      <c r="G56" s="383"/>
      <c r="H56" s="407"/>
      <c r="I56" s="8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383"/>
      <c r="Z56" s="383"/>
      <c r="AA56" s="383"/>
      <c r="AB56" s="383"/>
      <c r="AC56" s="383"/>
      <c r="AD56" s="383"/>
      <c r="AE56" s="383"/>
    </row>
    <row r="57" spans="1:31" ht="21">
      <c r="A57" s="402"/>
      <c r="B57" s="297" t="s">
        <v>339</v>
      </c>
      <c r="C57" s="297"/>
      <c r="D57" s="297"/>
      <c r="E57" s="297"/>
      <c r="F57" s="297"/>
      <c r="G57" s="297"/>
      <c r="H57" s="297"/>
      <c r="I57" s="297"/>
      <c r="J57" s="297"/>
      <c r="K57" s="383"/>
      <c r="L57" s="383"/>
      <c r="M57" s="383"/>
      <c r="N57" s="383"/>
      <c r="O57" s="383"/>
      <c r="P57" s="383"/>
      <c r="Q57" s="407"/>
      <c r="R57" s="407"/>
      <c r="S57" s="407"/>
      <c r="T57" s="407"/>
      <c r="U57" s="407"/>
      <c r="V57" s="407"/>
      <c r="W57" s="407"/>
      <c r="X57" s="407"/>
      <c r="Y57" s="383"/>
      <c r="Z57" s="383"/>
      <c r="AA57" s="383"/>
      <c r="AB57" s="383"/>
      <c r="AC57" s="383"/>
      <c r="AD57" s="383"/>
      <c r="AE57" s="383"/>
    </row>
    <row r="58" spans="1:31" ht="21">
      <c r="A58" s="404"/>
      <c r="B58" s="297" t="s">
        <v>458</v>
      </c>
      <c r="C58" s="297"/>
      <c r="D58" s="297"/>
      <c r="E58" s="297"/>
      <c r="F58" s="297"/>
      <c r="G58" s="297"/>
      <c r="H58" s="297"/>
      <c r="I58" s="297"/>
      <c r="J58" s="297"/>
      <c r="K58" s="383"/>
      <c r="L58" s="383"/>
      <c r="M58" s="383"/>
      <c r="N58" s="383"/>
      <c r="O58" s="383"/>
      <c r="P58" s="383"/>
      <c r="Q58" s="407"/>
      <c r="R58" s="407"/>
      <c r="S58" s="407"/>
      <c r="T58" s="407"/>
      <c r="U58" s="407"/>
      <c r="V58" s="407"/>
      <c r="W58" s="407"/>
      <c r="X58" s="407"/>
      <c r="Y58" s="405"/>
      <c r="Z58" s="405"/>
      <c r="AA58" s="405"/>
      <c r="AB58" s="405"/>
      <c r="AC58" s="405"/>
      <c r="AD58" s="405"/>
      <c r="AE58" s="405"/>
    </row>
    <row r="59" spans="1:31" ht="21">
      <c r="A59" s="406"/>
      <c r="B59" s="403" t="s">
        <v>383</v>
      </c>
      <c r="C59" s="403"/>
      <c r="D59" s="403"/>
      <c r="E59" s="403"/>
      <c r="F59" s="403"/>
      <c r="G59" s="403"/>
      <c r="H59" s="403"/>
      <c r="I59" s="297"/>
      <c r="J59" s="297"/>
      <c r="K59" s="383"/>
      <c r="L59" s="383"/>
      <c r="M59" s="383"/>
      <c r="N59" s="383"/>
      <c r="O59" s="383"/>
      <c r="P59" s="383"/>
      <c r="Q59" s="407"/>
      <c r="R59" s="407"/>
      <c r="S59" s="407"/>
      <c r="T59" s="407"/>
      <c r="U59" s="407"/>
      <c r="V59" s="407"/>
      <c r="W59" s="407"/>
      <c r="X59" s="407"/>
      <c r="Y59" s="383"/>
      <c r="Z59" s="383"/>
      <c r="AA59" s="383"/>
      <c r="AB59" s="383"/>
      <c r="AC59" s="383"/>
      <c r="AD59" s="383"/>
      <c r="AE59" s="383"/>
    </row>
    <row r="60" spans="1:31" ht="21">
      <c r="A60" s="382"/>
      <c r="B60" s="403" t="s">
        <v>384</v>
      </c>
      <c r="C60" s="403"/>
      <c r="D60" s="403"/>
      <c r="E60" s="403"/>
      <c r="F60" s="403"/>
      <c r="G60" s="403"/>
      <c r="H60" s="403"/>
      <c r="I60" s="297"/>
      <c r="J60" s="297"/>
      <c r="K60" s="383"/>
      <c r="L60" s="383"/>
      <c r="M60" s="383"/>
      <c r="N60" s="383"/>
      <c r="O60" s="383"/>
      <c r="P60" s="383"/>
      <c r="Q60" s="407"/>
      <c r="R60" s="407"/>
      <c r="S60" s="407"/>
      <c r="T60" s="407"/>
      <c r="U60" s="407"/>
      <c r="V60" s="407"/>
      <c r="W60" s="407"/>
      <c r="X60" s="407"/>
      <c r="Y60" s="383"/>
      <c r="Z60" s="383"/>
      <c r="AA60" s="383"/>
      <c r="AB60" s="383"/>
      <c r="AC60" s="383"/>
      <c r="AD60" s="383"/>
      <c r="AE60" s="383"/>
    </row>
    <row r="61" spans="1:31" ht="21">
      <c r="A61" s="382"/>
      <c r="B61" s="403" t="s">
        <v>385</v>
      </c>
      <c r="C61" s="403"/>
      <c r="D61" s="403"/>
      <c r="E61" s="403"/>
      <c r="F61" s="403"/>
      <c r="G61" s="403"/>
      <c r="H61" s="403"/>
      <c r="I61" s="297"/>
      <c r="J61" s="297"/>
      <c r="K61" s="383"/>
      <c r="L61" s="383"/>
      <c r="M61" s="383"/>
      <c r="N61" s="383"/>
      <c r="O61" s="383"/>
      <c r="P61" s="383"/>
      <c r="Q61" s="407"/>
      <c r="R61" s="407"/>
      <c r="S61" s="407"/>
      <c r="T61" s="407"/>
      <c r="U61" s="407"/>
      <c r="V61" s="407"/>
      <c r="W61" s="407"/>
      <c r="X61" s="407"/>
      <c r="Y61" s="383"/>
      <c r="Z61" s="383"/>
      <c r="AA61" s="383"/>
      <c r="AB61" s="383"/>
      <c r="AC61" s="383"/>
      <c r="AD61" s="383"/>
      <c r="AE61" s="383"/>
    </row>
    <row r="62" spans="1:31" ht="21">
      <c r="A62" s="2"/>
      <c r="B62" s="403" t="s">
        <v>456</v>
      </c>
      <c r="C62" s="403"/>
      <c r="D62" s="403"/>
      <c r="E62" s="403"/>
      <c r="F62" s="403"/>
      <c r="G62" s="403"/>
      <c r="H62" s="403"/>
      <c r="I62" s="297"/>
      <c r="J62" s="297"/>
      <c r="K62" s="383"/>
      <c r="L62" s="383"/>
      <c r="M62" s="383"/>
      <c r="N62" s="383"/>
      <c r="O62" s="383"/>
      <c r="P62" s="383"/>
      <c r="Q62" s="6"/>
      <c r="R62" s="6"/>
      <c r="S62" s="6"/>
      <c r="T62" s="6"/>
      <c r="U62" s="6"/>
      <c r="V62" s="6"/>
      <c r="W62" s="6"/>
      <c r="X62" s="6"/>
    </row>
    <row r="63" spans="1:31" ht="21">
      <c r="A63" s="2"/>
      <c r="B63" s="403" t="s">
        <v>386</v>
      </c>
      <c r="C63" s="403"/>
      <c r="D63" s="403"/>
      <c r="E63" s="403"/>
      <c r="F63" s="403"/>
      <c r="G63" s="403"/>
      <c r="H63" s="403"/>
      <c r="I63" s="297"/>
      <c r="J63" s="297"/>
      <c r="K63" s="383"/>
      <c r="L63" s="383"/>
      <c r="M63" s="383"/>
      <c r="N63" s="383"/>
      <c r="O63" s="383"/>
      <c r="P63" s="383"/>
      <c r="Q63" s="6"/>
      <c r="R63" s="6"/>
      <c r="S63" s="6"/>
      <c r="T63" s="6"/>
      <c r="U63" s="6"/>
      <c r="V63" s="6"/>
      <c r="W63" s="6"/>
      <c r="X63" s="6"/>
    </row>
    <row r="64" spans="1:31" ht="21">
      <c r="A64" s="4"/>
      <c r="B64" s="403" t="s">
        <v>457</v>
      </c>
      <c r="C64" s="403"/>
      <c r="D64" s="403"/>
      <c r="E64" s="403"/>
      <c r="F64" s="403"/>
      <c r="G64" s="403"/>
      <c r="H64" s="403"/>
      <c r="I64" s="297"/>
      <c r="J64" s="297"/>
      <c r="K64" s="383"/>
      <c r="L64" s="383"/>
      <c r="M64" s="383"/>
      <c r="N64" s="383"/>
      <c r="O64" s="383"/>
      <c r="P64" s="383"/>
      <c r="Q64" s="6"/>
      <c r="R64" s="6"/>
      <c r="S64" s="6"/>
      <c r="T64" s="6"/>
      <c r="U64" s="6"/>
      <c r="V64" s="6"/>
      <c r="W64" s="6"/>
      <c r="X64" s="6"/>
    </row>
    <row r="65" spans="1:24" ht="21">
      <c r="A65" s="5"/>
      <c r="B65" s="403" t="s">
        <v>387</v>
      </c>
      <c r="C65" s="403"/>
      <c r="D65" s="403"/>
      <c r="E65" s="403"/>
      <c r="F65" s="403"/>
      <c r="G65" s="403"/>
      <c r="H65" s="403"/>
      <c r="I65" s="297"/>
      <c r="J65" s="297"/>
      <c r="K65" s="383"/>
      <c r="L65" s="383"/>
      <c r="M65" s="383"/>
      <c r="N65" s="383"/>
      <c r="O65" s="383"/>
      <c r="P65" s="383"/>
      <c r="Q65" s="6"/>
      <c r="R65" s="6"/>
      <c r="S65" s="6"/>
      <c r="T65" s="6"/>
      <c r="U65" s="6"/>
      <c r="V65" s="6"/>
      <c r="W65" s="6"/>
      <c r="X65" s="6"/>
    </row>
    <row r="66" spans="1:24" ht="18.75">
      <c r="B66" s="403" t="s">
        <v>388</v>
      </c>
      <c r="C66" s="403"/>
      <c r="D66" s="403"/>
      <c r="E66" s="403"/>
      <c r="F66" s="403"/>
      <c r="G66" s="403"/>
      <c r="H66" s="403"/>
      <c r="I66" s="297"/>
      <c r="J66" s="297"/>
      <c r="K66" s="383"/>
      <c r="L66" s="383"/>
      <c r="M66" s="383"/>
      <c r="N66" s="383"/>
      <c r="O66" s="383"/>
      <c r="P66" s="383"/>
    </row>
    <row r="67" spans="1:24" ht="18.75">
      <c r="B67" s="297" t="s">
        <v>459</v>
      </c>
      <c r="C67" s="403"/>
      <c r="D67" s="403"/>
      <c r="E67" s="403"/>
      <c r="F67" s="403"/>
      <c r="G67" s="403"/>
      <c r="H67" s="403"/>
      <c r="I67" s="297"/>
      <c r="J67" s="297"/>
      <c r="K67" s="383"/>
      <c r="L67" s="383"/>
      <c r="M67" s="383"/>
      <c r="N67" s="383"/>
      <c r="O67" s="383"/>
      <c r="P67" s="383"/>
    </row>
    <row r="68" spans="1:24" ht="18.75">
      <c r="B68" s="403" t="s">
        <v>460</v>
      </c>
      <c r="C68" s="403"/>
      <c r="D68" s="403"/>
      <c r="E68" s="403"/>
      <c r="F68" s="403"/>
      <c r="G68" s="403"/>
      <c r="H68" s="403"/>
      <c r="I68" s="297"/>
      <c r="J68" s="297"/>
      <c r="K68" s="383"/>
      <c r="L68" s="383"/>
      <c r="M68" s="383"/>
      <c r="N68" s="383"/>
      <c r="O68" s="383"/>
      <c r="P68" s="383"/>
    </row>
    <row r="69" spans="1:24" ht="18.75">
      <c r="B69" s="297" t="s">
        <v>389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</row>
    <row r="70" spans="1:24" ht="18.75">
      <c r="B70" s="297" t="s">
        <v>378</v>
      </c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</row>
    <row r="71" spans="1:24" ht="20.25">
      <c r="B71" s="403" t="s">
        <v>390</v>
      </c>
      <c r="C71" s="468"/>
      <c r="D71" s="468"/>
      <c r="E71" s="468"/>
      <c r="F71" s="468"/>
      <c r="G71" s="26"/>
      <c r="H71" s="468"/>
      <c r="I71" s="292"/>
      <c r="J71" s="292"/>
      <c r="K71" s="292"/>
      <c r="L71" s="292"/>
      <c r="M71" s="292"/>
      <c r="N71" s="292"/>
      <c r="O71" s="292"/>
      <c r="P71" s="292"/>
    </row>
    <row r="72" spans="1:24" ht="18.75">
      <c r="B72" s="297" t="s">
        <v>391</v>
      </c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</row>
    <row r="73" spans="1:24" ht="20.25">
      <c r="B73" s="403" t="s">
        <v>392</v>
      </c>
      <c r="C73" s="468"/>
      <c r="D73" s="468"/>
      <c r="E73" s="468"/>
      <c r="F73" s="468"/>
      <c r="G73" s="26"/>
      <c r="H73" s="468"/>
      <c r="I73" s="292"/>
      <c r="J73" s="292"/>
      <c r="K73" s="292"/>
      <c r="L73" s="292"/>
      <c r="M73" s="292"/>
      <c r="N73" s="292"/>
      <c r="O73" s="292"/>
      <c r="P73" s="292"/>
    </row>
    <row r="74" spans="1:24" ht="21"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</row>
    <row r="75" spans="1:24" ht="21">
      <c r="B75" s="469"/>
      <c r="C75" s="339" t="s">
        <v>461</v>
      </c>
      <c r="D75" s="475"/>
      <c r="E75" s="475"/>
      <c r="F75" s="475"/>
      <c r="G75" s="476"/>
      <c r="H75" s="476"/>
      <c r="I75" s="469"/>
      <c r="J75" s="469"/>
      <c r="K75" s="469"/>
      <c r="L75" s="469"/>
      <c r="M75" s="469"/>
      <c r="N75" s="469"/>
      <c r="O75" s="469"/>
      <c r="P75" s="469"/>
    </row>
  </sheetData>
  <mergeCells count="47">
    <mergeCell ref="A42:AE42"/>
    <mergeCell ref="A40:C40"/>
    <mergeCell ref="A39:C39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2:B2"/>
    <mergeCell ref="H2:P2"/>
    <mergeCell ref="A3:B3"/>
    <mergeCell ref="B38:C38"/>
    <mergeCell ref="B37:C37"/>
    <mergeCell ref="B36:C36"/>
    <mergeCell ref="B35:C35"/>
    <mergeCell ref="B34:C34"/>
    <mergeCell ref="B33:C33"/>
    <mergeCell ref="A19:C19"/>
    <mergeCell ref="A24:C24"/>
    <mergeCell ref="A28:C28"/>
    <mergeCell ref="A31:C31"/>
    <mergeCell ref="P8:Q8"/>
    <mergeCell ref="A4:R4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1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0"/>
  <sheetViews>
    <sheetView tabSelected="1" zoomScale="80" zoomScaleNormal="80" workbookViewId="0">
      <selection activeCell="S3" sqref="S3"/>
    </sheetView>
  </sheetViews>
  <sheetFormatPr defaultRowHeight="15"/>
  <cols>
    <col min="1" max="1" width="5.5703125" style="693" customWidth="1"/>
    <col min="2" max="2" width="47.42578125" style="693" customWidth="1"/>
    <col min="3" max="3" width="25.140625" style="693" customWidth="1"/>
    <col min="4" max="4" width="8.7109375" style="693" customWidth="1"/>
    <col min="5" max="5" width="11.5703125" style="693" customWidth="1"/>
    <col min="6" max="6" width="8.140625" style="693" customWidth="1"/>
    <col min="7" max="24" width="7.85546875" style="693" customWidth="1"/>
    <col min="25" max="25" width="10.85546875" style="693" customWidth="1"/>
    <col min="26" max="29" width="7" style="693" customWidth="1"/>
    <col min="30" max="30" width="11.42578125" style="693" customWidth="1"/>
    <col min="31" max="31" width="10" style="693" customWidth="1"/>
    <col min="32" max="16384" width="9.140625" style="693"/>
  </cols>
  <sheetData>
    <row r="1" spans="1:75" s="800" customFormat="1" ht="37.5" customHeight="1">
      <c r="A1" s="813" t="s">
        <v>401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04"/>
    </row>
    <row r="2" spans="1:75" s="800" customFormat="1" ht="30" customHeight="1">
      <c r="A2" s="812" t="s">
        <v>111</v>
      </c>
      <c r="B2" s="812"/>
      <c r="C2" s="811" t="s">
        <v>112</v>
      </c>
      <c r="E2" s="810"/>
      <c r="F2" s="810"/>
      <c r="G2" s="810"/>
      <c r="H2" s="809" t="s">
        <v>160</v>
      </c>
      <c r="I2" s="809"/>
      <c r="J2" s="809"/>
      <c r="K2" s="809"/>
      <c r="L2" s="809"/>
      <c r="M2" s="809"/>
      <c r="N2" s="809"/>
      <c r="O2" s="809"/>
      <c r="P2" s="809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5"/>
      <c r="AF2" s="804"/>
    </row>
    <row r="3" spans="1:75" s="800" customFormat="1" ht="40.5" customHeight="1">
      <c r="A3" s="808" t="s">
        <v>110</v>
      </c>
      <c r="B3" s="808"/>
      <c r="C3" s="807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5"/>
      <c r="AF3" s="804"/>
    </row>
    <row r="4" spans="1:75" s="800" customFormat="1" ht="24.75" customHeight="1">
      <c r="A4" s="803" t="s">
        <v>347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1"/>
    </row>
    <row r="5" spans="1:75" ht="15" customHeight="1">
      <c r="A5" s="799"/>
      <c r="B5" s="798"/>
      <c r="C5" s="798"/>
      <c r="D5" s="798"/>
      <c r="E5" s="798"/>
      <c r="F5" s="797"/>
      <c r="G5" s="796" t="s">
        <v>103</v>
      </c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5"/>
      <c r="AF5" s="794"/>
    </row>
    <row r="6" spans="1:75" ht="15" customHeight="1">
      <c r="A6" s="791" t="s">
        <v>0</v>
      </c>
      <c r="B6" s="790" t="s">
        <v>4</v>
      </c>
      <c r="C6" s="790" t="s">
        <v>1</v>
      </c>
      <c r="D6" s="789" t="s">
        <v>8</v>
      </c>
      <c r="E6" s="789"/>
      <c r="F6" s="789"/>
      <c r="G6" s="793" t="s">
        <v>107</v>
      </c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2" t="s">
        <v>5</v>
      </c>
      <c r="Z6" s="792" t="s">
        <v>89</v>
      </c>
      <c r="AA6" s="792" t="s">
        <v>88</v>
      </c>
      <c r="AB6" s="792" t="s">
        <v>94</v>
      </c>
      <c r="AC6" s="792" t="s">
        <v>90</v>
      </c>
      <c r="AD6" s="792" t="s">
        <v>14</v>
      </c>
      <c r="AE6" s="792" t="s">
        <v>6</v>
      </c>
    </row>
    <row r="7" spans="1:75" ht="15" customHeight="1">
      <c r="A7" s="791"/>
      <c r="B7" s="790"/>
      <c r="C7" s="790"/>
      <c r="D7" s="789"/>
      <c r="E7" s="789"/>
      <c r="F7" s="789"/>
      <c r="G7" s="786" t="s">
        <v>101</v>
      </c>
      <c r="H7" s="788"/>
      <c r="I7" s="788"/>
      <c r="J7" s="788"/>
      <c r="K7" s="788"/>
      <c r="L7" s="788"/>
      <c r="M7" s="788"/>
      <c r="N7" s="788"/>
      <c r="O7" s="785"/>
      <c r="P7" s="783" t="s">
        <v>102</v>
      </c>
      <c r="Q7" s="787"/>
      <c r="R7" s="787"/>
      <c r="S7" s="787"/>
      <c r="T7" s="787"/>
      <c r="U7" s="787"/>
      <c r="V7" s="787"/>
      <c r="W7" s="787"/>
      <c r="X7" s="782"/>
      <c r="Y7" s="773"/>
      <c r="Z7" s="773"/>
      <c r="AA7" s="773"/>
      <c r="AB7" s="773"/>
      <c r="AC7" s="773"/>
      <c r="AD7" s="773"/>
      <c r="AE7" s="773"/>
    </row>
    <row r="8" spans="1:75" ht="15" customHeight="1">
      <c r="A8" s="780"/>
      <c r="B8" s="779"/>
      <c r="C8" s="779"/>
      <c r="D8" s="779" t="s">
        <v>2</v>
      </c>
      <c r="E8" s="779" t="s">
        <v>13</v>
      </c>
      <c r="F8" s="779" t="s">
        <v>12</v>
      </c>
      <c r="G8" s="786" t="s">
        <v>348</v>
      </c>
      <c r="H8" s="785"/>
      <c r="I8" s="786" t="s">
        <v>349</v>
      </c>
      <c r="J8" s="785"/>
      <c r="K8" s="786" t="s">
        <v>350</v>
      </c>
      <c r="L8" s="785"/>
      <c r="M8" s="786" t="s">
        <v>351</v>
      </c>
      <c r="N8" s="785"/>
      <c r="O8" s="784" t="s">
        <v>7</v>
      </c>
      <c r="P8" s="783" t="s">
        <v>348</v>
      </c>
      <c r="Q8" s="782"/>
      <c r="R8" s="783" t="s">
        <v>349</v>
      </c>
      <c r="S8" s="782"/>
      <c r="T8" s="783" t="s">
        <v>350</v>
      </c>
      <c r="U8" s="782"/>
      <c r="V8" s="783" t="s">
        <v>351</v>
      </c>
      <c r="W8" s="782"/>
      <c r="X8" s="781" t="s">
        <v>7</v>
      </c>
      <c r="Y8" s="773"/>
      <c r="Z8" s="773"/>
      <c r="AA8" s="773"/>
      <c r="AB8" s="773"/>
      <c r="AC8" s="773"/>
      <c r="AD8" s="773"/>
      <c r="AE8" s="773"/>
    </row>
    <row r="9" spans="1:75" ht="48" customHeight="1">
      <c r="A9" s="780"/>
      <c r="B9" s="779"/>
      <c r="C9" s="779"/>
      <c r="D9" s="778"/>
      <c r="E9" s="778"/>
      <c r="F9" s="778"/>
      <c r="G9" s="777" t="s">
        <v>15</v>
      </c>
      <c r="H9" s="777" t="s">
        <v>16</v>
      </c>
      <c r="I9" s="777" t="s">
        <v>15</v>
      </c>
      <c r="J9" s="777" t="s">
        <v>16</v>
      </c>
      <c r="K9" s="777" t="s">
        <v>15</v>
      </c>
      <c r="L9" s="777" t="s">
        <v>16</v>
      </c>
      <c r="M9" s="777" t="s">
        <v>15</v>
      </c>
      <c r="N9" s="777" t="s">
        <v>16</v>
      </c>
      <c r="O9" s="776"/>
      <c r="P9" s="775" t="s">
        <v>15</v>
      </c>
      <c r="Q9" s="775" t="s">
        <v>16</v>
      </c>
      <c r="R9" s="775" t="s">
        <v>15</v>
      </c>
      <c r="S9" s="775" t="s">
        <v>16</v>
      </c>
      <c r="T9" s="775" t="s">
        <v>15</v>
      </c>
      <c r="U9" s="775" t="s">
        <v>16</v>
      </c>
      <c r="V9" s="775" t="s">
        <v>15</v>
      </c>
      <c r="W9" s="775" t="s">
        <v>16</v>
      </c>
      <c r="X9" s="774"/>
      <c r="Y9" s="773"/>
      <c r="Z9" s="773"/>
      <c r="AA9" s="773"/>
      <c r="AB9" s="773"/>
      <c r="AC9" s="773"/>
      <c r="AD9" s="773"/>
      <c r="AE9" s="773"/>
    </row>
    <row r="10" spans="1:75" ht="15.75">
      <c r="A10" s="734" t="s">
        <v>406</v>
      </c>
      <c r="B10" s="751"/>
      <c r="C10" s="752"/>
      <c r="D10" s="751"/>
      <c r="E10" s="751"/>
      <c r="F10" s="751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72"/>
    </row>
    <row r="11" spans="1:75" s="762" customFormat="1" ht="40.5" customHeight="1">
      <c r="A11" s="771">
        <v>2.8</v>
      </c>
      <c r="B11" s="746" t="s">
        <v>315</v>
      </c>
      <c r="C11" s="770" t="s">
        <v>331</v>
      </c>
      <c r="D11" s="768"/>
      <c r="E11" s="769">
        <v>9</v>
      </c>
      <c r="F11" s="768"/>
      <c r="G11" s="767">
        <v>10</v>
      </c>
      <c r="H11" s="767">
        <v>5</v>
      </c>
      <c r="I11" s="767">
        <v>10</v>
      </c>
      <c r="J11" s="767"/>
      <c r="K11" s="766"/>
      <c r="L11" s="765"/>
      <c r="M11" s="765"/>
      <c r="N11" s="765"/>
      <c r="O11" s="765">
        <v>1</v>
      </c>
      <c r="P11" s="764"/>
      <c r="Q11" s="764"/>
      <c r="R11" s="764"/>
      <c r="S11" s="764"/>
      <c r="T11" s="764"/>
      <c r="U11" s="764"/>
      <c r="V11" s="764"/>
      <c r="W11" s="764"/>
      <c r="X11" s="764"/>
      <c r="Y11" s="763">
        <f>SUM(Z11:AC11)</f>
        <v>20</v>
      </c>
      <c r="Z11" s="763">
        <f>G11+P11</f>
        <v>10</v>
      </c>
      <c r="AA11" s="763">
        <f>I11+R11</f>
        <v>10</v>
      </c>
      <c r="AB11" s="763">
        <f>K11+T11</f>
        <v>0</v>
      </c>
      <c r="AC11" s="763">
        <f>M11+V11</f>
        <v>0</v>
      </c>
      <c r="AD11" s="763">
        <f>SUM(G11:N11,P11:W11)</f>
        <v>25</v>
      </c>
      <c r="AE11" s="763">
        <f>O11+X11</f>
        <v>1</v>
      </c>
    </row>
    <row r="12" spans="1:75" s="754" customFormat="1" ht="21" customHeight="1">
      <c r="A12" s="761" t="s">
        <v>9</v>
      </c>
      <c r="B12" s="760"/>
      <c r="C12" s="760"/>
      <c r="D12" s="760"/>
      <c r="E12" s="760"/>
      <c r="F12" s="759"/>
      <c r="G12" s="758">
        <f>SUM(G11)</f>
        <v>10</v>
      </c>
      <c r="H12" s="758">
        <f>SUM(H11)</f>
        <v>5</v>
      </c>
      <c r="I12" s="758">
        <f>SUM(I11)</f>
        <v>10</v>
      </c>
      <c r="J12" s="758">
        <f>SUM(J11)</f>
        <v>0</v>
      </c>
      <c r="K12" s="757">
        <f>SUM(K11)</f>
        <v>0</v>
      </c>
      <c r="L12" s="727">
        <f>SUM(L11)</f>
        <v>0</v>
      </c>
      <c r="M12" s="727">
        <f>SUM(M11)</f>
        <v>0</v>
      </c>
      <c r="N12" s="727">
        <f>SUM(N11)</f>
        <v>0</v>
      </c>
      <c r="O12" s="727">
        <f>SUM(O11)</f>
        <v>1</v>
      </c>
      <c r="P12" s="727">
        <f>SUM(P11)</f>
        <v>0</v>
      </c>
      <c r="Q12" s="727">
        <f>SUM(Q11)</f>
        <v>0</v>
      </c>
      <c r="R12" s="727">
        <f>SUM(R11)</f>
        <v>0</v>
      </c>
      <c r="S12" s="727">
        <f>SUM(S11)</f>
        <v>0</v>
      </c>
      <c r="T12" s="727">
        <f>SUM(T11)</f>
        <v>0</v>
      </c>
      <c r="U12" s="727">
        <f>SUM(U11)</f>
        <v>0</v>
      </c>
      <c r="V12" s="727">
        <f>SUM(V11)</f>
        <v>0</v>
      </c>
      <c r="W12" s="727">
        <f>SUM(W11)</f>
        <v>0</v>
      </c>
      <c r="X12" s="727">
        <f>SUM(X11)</f>
        <v>0</v>
      </c>
      <c r="Y12" s="727">
        <f>SUM(Y11)</f>
        <v>20</v>
      </c>
      <c r="Z12" s="727">
        <f>SUM(Z11)</f>
        <v>10</v>
      </c>
      <c r="AA12" s="727">
        <f>SUM(AA11)</f>
        <v>10</v>
      </c>
      <c r="AB12" s="727">
        <f>SUM(AB11)</f>
        <v>0</v>
      </c>
      <c r="AC12" s="727">
        <f>SUM(AC11)</f>
        <v>0</v>
      </c>
      <c r="AD12" s="756">
        <f>SUM(AD11)</f>
        <v>25</v>
      </c>
      <c r="AE12" s="727">
        <f>SUM(AE11)</f>
        <v>1</v>
      </c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5"/>
      <c r="BH12" s="755"/>
      <c r="BI12" s="755"/>
      <c r="BJ12" s="755"/>
      <c r="BK12" s="755"/>
      <c r="BL12" s="755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755"/>
    </row>
    <row r="13" spans="1:75" ht="15.75">
      <c r="A13" s="753" t="s">
        <v>419</v>
      </c>
      <c r="B13" s="751"/>
      <c r="C13" s="752"/>
      <c r="D13" s="751"/>
      <c r="E13" s="751"/>
      <c r="F13" s="751"/>
      <c r="G13" s="750"/>
      <c r="H13" s="750"/>
      <c r="I13" s="750"/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  <c r="Z13" s="750"/>
      <c r="AA13" s="750"/>
      <c r="AB13" s="750"/>
      <c r="AC13" s="750"/>
      <c r="AD13" s="750"/>
      <c r="AE13" s="750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8"/>
      <c r="BA13" s="748"/>
      <c r="BB13" s="748"/>
      <c r="BC13" s="748"/>
      <c r="BD13" s="748"/>
      <c r="BE13" s="748"/>
      <c r="BF13" s="748"/>
      <c r="BG13" s="748"/>
      <c r="BH13" s="748"/>
      <c r="BI13" s="748"/>
      <c r="BJ13" s="748"/>
      <c r="BK13" s="748"/>
      <c r="BL13" s="748"/>
      <c r="BM13" s="748"/>
      <c r="BN13" s="748"/>
      <c r="BO13" s="748"/>
      <c r="BP13" s="748"/>
      <c r="BQ13" s="748"/>
      <c r="BR13" s="748"/>
      <c r="BS13" s="748"/>
      <c r="BT13" s="748"/>
      <c r="BU13" s="748"/>
      <c r="BV13" s="748"/>
      <c r="BW13" s="748"/>
    </row>
    <row r="14" spans="1:75" ht="27.75" customHeight="1">
      <c r="A14" s="749">
        <v>5.0999999999999996</v>
      </c>
      <c r="B14" s="743" t="s">
        <v>51</v>
      </c>
      <c r="C14" s="715" t="s">
        <v>327</v>
      </c>
      <c r="D14" s="714">
        <v>11</v>
      </c>
      <c r="E14" s="713" t="s">
        <v>450</v>
      </c>
      <c r="F14" s="712"/>
      <c r="G14" s="711">
        <v>15</v>
      </c>
      <c r="H14" s="711">
        <v>10</v>
      </c>
      <c r="I14" s="711">
        <v>10</v>
      </c>
      <c r="J14" s="711">
        <v>0</v>
      </c>
      <c r="K14" s="711">
        <v>15</v>
      </c>
      <c r="L14" s="711"/>
      <c r="M14" s="711"/>
      <c r="N14" s="711"/>
      <c r="O14" s="711">
        <v>2</v>
      </c>
      <c r="P14" s="710">
        <v>15</v>
      </c>
      <c r="Q14" s="710">
        <v>10</v>
      </c>
      <c r="R14" s="710">
        <v>10</v>
      </c>
      <c r="S14" s="710">
        <v>0</v>
      </c>
      <c r="T14" s="710">
        <v>15</v>
      </c>
      <c r="U14" s="710"/>
      <c r="V14" s="710"/>
      <c r="W14" s="710"/>
      <c r="X14" s="710">
        <v>2</v>
      </c>
      <c r="Y14" s="709">
        <f>SUM(Z14:AC14)</f>
        <v>80</v>
      </c>
      <c r="Z14" s="709">
        <f>G14+P14</f>
        <v>30</v>
      </c>
      <c r="AA14" s="709">
        <f>I14+R14</f>
        <v>20</v>
      </c>
      <c r="AB14" s="709">
        <f>K14+T14</f>
        <v>30</v>
      </c>
      <c r="AC14" s="709">
        <f>M14+V14</f>
        <v>0</v>
      </c>
      <c r="AD14" s="709">
        <f>SUM(G14:N14,P14:W14)</f>
        <v>100</v>
      </c>
      <c r="AE14" s="709">
        <f>O14+X14</f>
        <v>4</v>
      </c>
    </row>
    <row r="15" spans="1:75" ht="27.75" customHeight="1">
      <c r="A15" s="749">
        <v>5.2</v>
      </c>
      <c r="B15" s="743" t="s">
        <v>80</v>
      </c>
      <c r="C15" s="715" t="s">
        <v>328</v>
      </c>
      <c r="D15" s="714">
        <v>11</v>
      </c>
      <c r="E15" s="713" t="s">
        <v>475</v>
      </c>
      <c r="F15" s="712"/>
      <c r="G15" s="711"/>
      <c r="H15" s="711"/>
      <c r="I15" s="711"/>
      <c r="J15" s="711"/>
      <c r="K15" s="711"/>
      <c r="L15" s="711"/>
      <c r="M15" s="711"/>
      <c r="N15" s="711"/>
      <c r="O15" s="711"/>
      <c r="P15" s="710">
        <v>15</v>
      </c>
      <c r="Q15" s="710">
        <v>10</v>
      </c>
      <c r="R15" s="710">
        <v>10</v>
      </c>
      <c r="S15" s="710">
        <v>0</v>
      </c>
      <c r="T15" s="710">
        <v>15</v>
      </c>
      <c r="U15" s="710"/>
      <c r="V15" s="710"/>
      <c r="W15" s="710"/>
      <c r="X15" s="710">
        <v>2</v>
      </c>
      <c r="Y15" s="709">
        <f>SUM(Z15:AC15)</f>
        <v>40</v>
      </c>
      <c r="Z15" s="709">
        <f>G15+P15</f>
        <v>15</v>
      </c>
      <c r="AA15" s="709">
        <f>I15+R15</f>
        <v>10</v>
      </c>
      <c r="AB15" s="709">
        <f>K15+T15</f>
        <v>15</v>
      </c>
      <c r="AC15" s="709">
        <f>M15+V15</f>
        <v>0</v>
      </c>
      <c r="AD15" s="709">
        <f>SUM(G15:N15,P15:W15)</f>
        <v>50</v>
      </c>
      <c r="AE15" s="709">
        <f>O15+X15</f>
        <v>2</v>
      </c>
    </row>
    <row r="16" spans="1:75" ht="27.75" customHeight="1">
      <c r="A16" s="741">
        <v>5.3</v>
      </c>
      <c r="B16" s="746" t="s">
        <v>52</v>
      </c>
      <c r="C16" s="715" t="str">
        <f>[3]RAZEM!C37</f>
        <v>0912-7LEK-C5.3-G</v>
      </c>
      <c r="D16" s="714">
        <v>10</v>
      </c>
      <c r="E16" s="712">
        <v>10</v>
      </c>
      <c r="F16" s="712"/>
      <c r="G16" s="711"/>
      <c r="H16" s="711"/>
      <c r="I16" s="711"/>
      <c r="J16" s="711"/>
      <c r="K16" s="711"/>
      <c r="L16" s="711"/>
      <c r="M16" s="711"/>
      <c r="N16" s="711"/>
      <c r="O16" s="711"/>
      <c r="P16" s="710">
        <v>15</v>
      </c>
      <c r="Q16" s="710">
        <v>10</v>
      </c>
      <c r="R16" s="710">
        <v>20</v>
      </c>
      <c r="S16" s="710">
        <v>15</v>
      </c>
      <c r="T16" s="710">
        <v>15</v>
      </c>
      <c r="U16" s="710"/>
      <c r="V16" s="710"/>
      <c r="W16" s="710"/>
      <c r="X16" s="710">
        <v>3</v>
      </c>
      <c r="Y16" s="709">
        <f>SUM(Z16:AC16)</f>
        <v>50</v>
      </c>
      <c r="Z16" s="709">
        <f>SUM(G16,P16)</f>
        <v>15</v>
      </c>
      <c r="AA16" s="709">
        <f>SUM(I16,R16)</f>
        <v>20</v>
      </c>
      <c r="AB16" s="709">
        <f>SUM(K16,T16)</f>
        <v>15</v>
      </c>
      <c r="AC16" s="709">
        <f>SUM(M16,V16)</f>
        <v>0</v>
      </c>
      <c r="AD16" s="709">
        <f>SUM(G16:N16,P16:W16)</f>
        <v>75</v>
      </c>
      <c r="AE16" s="709">
        <f>SUM(O16,X16)</f>
        <v>3</v>
      </c>
      <c r="AF16" s="748"/>
      <c r="AG16" s="748"/>
      <c r="AH16" s="748"/>
      <c r="AI16" s="748"/>
      <c r="AJ16" s="748"/>
      <c r="AK16" s="748"/>
      <c r="AL16" s="748"/>
      <c r="AM16" s="748"/>
      <c r="AN16" s="748"/>
      <c r="AO16" s="748"/>
      <c r="AP16" s="748"/>
      <c r="AQ16" s="748"/>
      <c r="AR16" s="748"/>
      <c r="AS16" s="748"/>
      <c r="AT16" s="748"/>
      <c r="AU16" s="748"/>
      <c r="AV16" s="748"/>
      <c r="AW16" s="748"/>
      <c r="AX16" s="748"/>
      <c r="AY16" s="748"/>
      <c r="AZ16" s="748"/>
      <c r="BA16" s="748"/>
      <c r="BB16" s="748"/>
      <c r="BC16" s="748"/>
      <c r="BD16" s="748"/>
      <c r="BE16" s="748"/>
      <c r="BF16" s="748"/>
      <c r="BG16" s="748"/>
      <c r="BH16" s="748"/>
      <c r="BI16" s="748"/>
      <c r="BJ16" s="748"/>
      <c r="BK16" s="748"/>
      <c r="BL16" s="748"/>
      <c r="BM16" s="748"/>
      <c r="BN16" s="748"/>
      <c r="BO16" s="748"/>
      <c r="BP16" s="748"/>
      <c r="BQ16" s="748"/>
      <c r="BR16" s="748"/>
      <c r="BS16" s="748"/>
      <c r="BT16" s="748"/>
      <c r="BU16" s="748"/>
      <c r="BV16" s="748"/>
      <c r="BW16" s="748"/>
    </row>
    <row r="17" spans="1:31" ht="27.75" customHeight="1">
      <c r="A17" s="741">
        <v>5.7</v>
      </c>
      <c r="B17" s="746" t="s">
        <v>56</v>
      </c>
      <c r="C17" s="715" t="str">
        <f>[3]RAZEM!C41</f>
        <v>0912-7LEK-C5.7-MR</v>
      </c>
      <c r="D17" s="714">
        <v>12</v>
      </c>
      <c r="E17" s="712">
        <v>9</v>
      </c>
      <c r="F17" s="712"/>
      <c r="G17" s="711">
        <v>15</v>
      </c>
      <c r="H17" s="711">
        <v>10</v>
      </c>
      <c r="I17" s="711">
        <v>25</v>
      </c>
      <c r="J17" s="711">
        <v>35</v>
      </c>
      <c r="K17" s="711">
        <v>15</v>
      </c>
      <c r="L17" s="711"/>
      <c r="M17" s="711"/>
      <c r="N17" s="711"/>
      <c r="O17" s="711">
        <v>4</v>
      </c>
      <c r="P17" s="710"/>
      <c r="Q17" s="710"/>
      <c r="R17" s="710"/>
      <c r="S17" s="710"/>
      <c r="T17" s="710"/>
      <c r="U17" s="710"/>
      <c r="V17" s="710"/>
      <c r="W17" s="710"/>
      <c r="X17" s="710"/>
      <c r="Y17" s="709">
        <f>SUM(Z17:AC17)</f>
        <v>55</v>
      </c>
      <c r="Z17" s="709">
        <f>SUM(G17,P17)</f>
        <v>15</v>
      </c>
      <c r="AA17" s="709">
        <f>SUM(I17,R17)</f>
        <v>25</v>
      </c>
      <c r="AB17" s="709">
        <f>SUM(K17,T17)</f>
        <v>15</v>
      </c>
      <c r="AC17" s="709">
        <f>SUM(M17,V17)</f>
        <v>0</v>
      </c>
      <c r="AD17" s="709">
        <f>SUM(G17:N17,P17:W17)</f>
        <v>100</v>
      </c>
      <c r="AE17" s="709">
        <f>SUM(O17,X17)</f>
        <v>4</v>
      </c>
    </row>
    <row r="18" spans="1:31" ht="21.75" customHeight="1">
      <c r="A18" s="737" t="s">
        <v>9</v>
      </c>
      <c r="B18" s="736"/>
      <c r="C18" s="736"/>
      <c r="D18" s="736"/>
      <c r="E18" s="736"/>
      <c r="F18" s="735"/>
      <c r="G18" s="727">
        <f>SUM(G14:G17)</f>
        <v>30</v>
      </c>
      <c r="H18" s="727">
        <f>SUM(H14:H17)</f>
        <v>20</v>
      </c>
      <c r="I18" s="727">
        <f>SUM(I14:I17)</f>
        <v>35</v>
      </c>
      <c r="J18" s="727">
        <f>SUM(J14:J17)</f>
        <v>35</v>
      </c>
      <c r="K18" s="727">
        <f>SUM(K14:K17)</f>
        <v>30</v>
      </c>
      <c r="L18" s="727">
        <f>SUM(L14:L17)</f>
        <v>0</v>
      </c>
      <c r="M18" s="727">
        <f>SUM(M14:M17)</f>
        <v>0</v>
      </c>
      <c r="N18" s="727">
        <f>SUM(N14:N17)</f>
        <v>0</v>
      </c>
      <c r="O18" s="727">
        <f>SUM(O14:O17)</f>
        <v>6</v>
      </c>
      <c r="P18" s="727">
        <f>SUM(P14:P17)</f>
        <v>45</v>
      </c>
      <c r="Q18" s="727">
        <f>SUM(Q14:Q17)</f>
        <v>30</v>
      </c>
      <c r="R18" s="727">
        <f>SUM(R14:R17)</f>
        <v>40</v>
      </c>
      <c r="S18" s="727">
        <f>SUM(S14:S17)</f>
        <v>15</v>
      </c>
      <c r="T18" s="727">
        <f>SUM(T14:T17)</f>
        <v>45</v>
      </c>
      <c r="U18" s="727">
        <f>SUM(U14:U17)</f>
        <v>0</v>
      </c>
      <c r="V18" s="727">
        <f>SUM(V14:V17)</f>
        <v>0</v>
      </c>
      <c r="W18" s="727">
        <f>SUM(W14:W17)</f>
        <v>0</v>
      </c>
      <c r="X18" s="727">
        <f>SUM(X14:X17)</f>
        <v>7</v>
      </c>
      <c r="Y18" s="727">
        <f>SUM(Y14:Y17)</f>
        <v>225</v>
      </c>
      <c r="Z18" s="727">
        <f>SUM(Z14:Z17)</f>
        <v>75</v>
      </c>
      <c r="AA18" s="727">
        <f>SUM(AA14:AA17)</f>
        <v>75</v>
      </c>
      <c r="AB18" s="727">
        <f>SUM(AB14:AB17)</f>
        <v>75</v>
      </c>
      <c r="AC18" s="727">
        <f>SUM(AC14:AC17)</f>
        <v>0</v>
      </c>
      <c r="AD18" s="727">
        <f>SUM(AD14:AD17)</f>
        <v>325</v>
      </c>
      <c r="AE18" s="727">
        <f>SUM(AE14:AE17)</f>
        <v>13</v>
      </c>
    </row>
    <row r="19" spans="1:31" ht="20.25" customHeight="1">
      <c r="A19" s="734" t="s">
        <v>420</v>
      </c>
      <c r="B19" s="732"/>
      <c r="C19" s="733"/>
      <c r="D19" s="732"/>
      <c r="E19" s="732"/>
      <c r="F19" s="732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731"/>
      <c r="AB19" s="731"/>
      <c r="AC19" s="731"/>
      <c r="AD19" s="731"/>
      <c r="AE19" s="730"/>
    </row>
    <row r="20" spans="1:31" ht="32.25" customHeight="1">
      <c r="A20" s="741">
        <v>6.2</v>
      </c>
      <c r="B20" s="746" t="s">
        <v>63</v>
      </c>
      <c r="C20" s="715" t="str">
        <f>"0912-7LEK-C"&amp;A20&amp;"-"&amp;UPPER(LEFT(B20,1))</f>
        <v>0912-7LEK-C6,2-C</v>
      </c>
      <c r="D20" s="714">
        <v>12</v>
      </c>
      <c r="E20" s="713" t="s">
        <v>449</v>
      </c>
      <c r="F20" s="712"/>
      <c r="G20" s="711">
        <v>15</v>
      </c>
      <c r="H20" s="711">
        <v>10</v>
      </c>
      <c r="I20" s="711">
        <v>15</v>
      </c>
      <c r="J20" s="711">
        <v>10</v>
      </c>
      <c r="K20" s="711">
        <v>25</v>
      </c>
      <c r="L20" s="711"/>
      <c r="M20" s="711"/>
      <c r="N20" s="711"/>
      <c r="O20" s="711">
        <v>3</v>
      </c>
      <c r="P20" s="710">
        <v>15</v>
      </c>
      <c r="Q20" s="710">
        <v>10</v>
      </c>
      <c r="R20" s="710">
        <v>15</v>
      </c>
      <c r="S20" s="710">
        <v>10</v>
      </c>
      <c r="T20" s="710">
        <v>25</v>
      </c>
      <c r="U20" s="710"/>
      <c r="V20" s="710"/>
      <c r="W20" s="710"/>
      <c r="X20" s="710">
        <v>3</v>
      </c>
      <c r="Y20" s="709">
        <f>SUM(Z20:AC20)</f>
        <v>110</v>
      </c>
      <c r="Z20" s="709">
        <f>SUM(G20,P20)</f>
        <v>30</v>
      </c>
      <c r="AA20" s="709">
        <f>SUM(I20,R20)</f>
        <v>30</v>
      </c>
      <c r="AB20" s="709">
        <f>SUM(K20,T20)</f>
        <v>50</v>
      </c>
      <c r="AC20" s="709">
        <f>SUM(M20,V20)</f>
        <v>0</v>
      </c>
      <c r="AD20" s="709">
        <f>SUM(G20:N20,P20:W20)</f>
        <v>150</v>
      </c>
      <c r="AE20" s="709">
        <f>SUM(O20,X20)</f>
        <v>6</v>
      </c>
    </row>
    <row r="21" spans="1:31" ht="32.25" customHeight="1">
      <c r="A21" s="741">
        <v>6.3</v>
      </c>
      <c r="B21" s="746" t="s">
        <v>64</v>
      </c>
      <c r="C21" s="715" t="str">
        <f>[3]RAZEM!C51</f>
        <v>0912-7LEK-C6.3-CD</v>
      </c>
      <c r="D21" s="714">
        <v>9</v>
      </c>
      <c r="E21" s="712">
        <v>9</v>
      </c>
      <c r="F21" s="712"/>
      <c r="G21" s="711">
        <v>15</v>
      </c>
      <c r="H21" s="711">
        <v>10</v>
      </c>
      <c r="I21" s="711">
        <v>15</v>
      </c>
      <c r="J21" s="711">
        <v>10</v>
      </c>
      <c r="K21" s="711">
        <v>25</v>
      </c>
      <c r="L21" s="711"/>
      <c r="M21" s="711"/>
      <c r="N21" s="711"/>
      <c r="O21" s="711">
        <v>3</v>
      </c>
      <c r="P21" s="747"/>
      <c r="Q21" s="747"/>
      <c r="R21" s="747"/>
      <c r="S21" s="747"/>
      <c r="T21" s="747"/>
      <c r="U21" s="747"/>
      <c r="V21" s="747"/>
      <c r="W21" s="747"/>
      <c r="X21" s="747"/>
      <c r="Y21" s="709">
        <f>SUM(Z21:AC21)</f>
        <v>55</v>
      </c>
      <c r="Z21" s="709">
        <f>SUM(G21,P21)</f>
        <v>15</v>
      </c>
      <c r="AA21" s="709">
        <f>SUM(I21,R21)</f>
        <v>15</v>
      </c>
      <c r="AB21" s="709">
        <f>SUM(K21,T21)</f>
        <v>25</v>
      </c>
      <c r="AC21" s="709">
        <f>SUM(M21,V21)</f>
        <v>0</v>
      </c>
      <c r="AD21" s="709">
        <f>SUM(G21:N21,P21:W21)</f>
        <v>75</v>
      </c>
      <c r="AE21" s="709">
        <f>SUM(O21,X21)</f>
        <v>3</v>
      </c>
    </row>
    <row r="22" spans="1:31" ht="32.25" customHeight="1">
      <c r="A22" s="741">
        <v>6.4</v>
      </c>
      <c r="B22" s="746" t="s">
        <v>65</v>
      </c>
      <c r="C22" s="715" t="str">
        <f>[3]RAZEM!C52</f>
        <v>0912-7LEK-C6.4-OiT</v>
      </c>
      <c r="D22" s="714">
        <v>9</v>
      </c>
      <c r="E22" s="712">
        <v>9</v>
      </c>
      <c r="F22" s="712"/>
      <c r="G22" s="711">
        <v>15</v>
      </c>
      <c r="H22" s="711">
        <v>10</v>
      </c>
      <c r="I22" s="711">
        <v>15</v>
      </c>
      <c r="J22" s="711">
        <v>10</v>
      </c>
      <c r="K22" s="711">
        <v>25</v>
      </c>
      <c r="L22" s="711"/>
      <c r="M22" s="711"/>
      <c r="N22" s="711"/>
      <c r="O22" s="711">
        <v>3</v>
      </c>
      <c r="P22" s="710"/>
      <c r="Q22" s="710"/>
      <c r="R22" s="710"/>
      <c r="S22" s="710"/>
      <c r="T22" s="710"/>
      <c r="U22" s="710"/>
      <c r="V22" s="710"/>
      <c r="W22" s="710"/>
      <c r="X22" s="710"/>
      <c r="Y22" s="709">
        <f>SUM(Z22:AC22)</f>
        <v>55</v>
      </c>
      <c r="Z22" s="709">
        <f>SUM(G22,P22)</f>
        <v>15</v>
      </c>
      <c r="AA22" s="709">
        <f>SUM(I22,R22)</f>
        <v>15</v>
      </c>
      <c r="AB22" s="709">
        <f>SUM(K22,T22)</f>
        <v>25</v>
      </c>
      <c r="AC22" s="709">
        <f>SUM(M22,V22)</f>
        <v>0</v>
      </c>
      <c r="AD22" s="709">
        <f>SUM(G22:N22,P22:W22)</f>
        <v>75</v>
      </c>
      <c r="AE22" s="709">
        <f>SUM(O22,X22)</f>
        <v>3</v>
      </c>
    </row>
    <row r="23" spans="1:31" ht="32.25" customHeight="1">
      <c r="A23" s="741">
        <v>6.5</v>
      </c>
      <c r="B23" s="746" t="s">
        <v>66</v>
      </c>
      <c r="C23" s="715" t="str">
        <f>"0912-7LEK-C"&amp;A23&amp;"-"&amp;UPPER(LEFT(B23,1))</f>
        <v>0912-7LEK-C6,5-C</v>
      </c>
      <c r="D23" s="714">
        <v>10</v>
      </c>
      <c r="E23" s="712">
        <v>10</v>
      </c>
      <c r="F23" s="712"/>
      <c r="G23" s="711"/>
      <c r="H23" s="711"/>
      <c r="I23" s="711"/>
      <c r="J23" s="711"/>
      <c r="K23" s="711"/>
      <c r="L23" s="711"/>
      <c r="M23" s="711"/>
      <c r="N23" s="711"/>
      <c r="O23" s="711"/>
      <c r="P23" s="710">
        <v>15</v>
      </c>
      <c r="Q23" s="710">
        <v>5</v>
      </c>
      <c r="R23" s="710">
        <v>10</v>
      </c>
      <c r="S23" s="710"/>
      <c r="T23" s="710">
        <v>20</v>
      </c>
      <c r="U23" s="710"/>
      <c r="V23" s="710"/>
      <c r="W23" s="710"/>
      <c r="X23" s="710">
        <v>2</v>
      </c>
      <c r="Y23" s="709">
        <f>SUM(Z23:AC23)</f>
        <v>45</v>
      </c>
      <c r="Z23" s="709">
        <f>SUM(G23,P23)</f>
        <v>15</v>
      </c>
      <c r="AA23" s="709">
        <f>SUM(I23,R23)</f>
        <v>10</v>
      </c>
      <c r="AB23" s="709">
        <f>SUM(K23,T23)</f>
        <v>20</v>
      </c>
      <c r="AC23" s="709">
        <f>SUM(M23,V23)</f>
        <v>0</v>
      </c>
      <c r="AD23" s="709">
        <f>SUM(G23:N23,P23:W23)</f>
        <v>50</v>
      </c>
      <c r="AE23" s="709">
        <f>SUM(O23,X23)</f>
        <v>2</v>
      </c>
    </row>
    <row r="24" spans="1:31" ht="32.25" customHeight="1">
      <c r="A24" s="741">
        <v>6.6</v>
      </c>
      <c r="B24" s="743" t="s">
        <v>67</v>
      </c>
      <c r="C24" s="715" t="str">
        <f>"0912-7LEK-C"&amp;A24&amp;"-"&amp;UPPER(LEFT(B24,1))</f>
        <v>0912-7LEK-C6,6-U</v>
      </c>
      <c r="D24" s="714">
        <v>10</v>
      </c>
      <c r="E24" s="712">
        <v>10</v>
      </c>
      <c r="F24" s="712"/>
      <c r="G24" s="711"/>
      <c r="H24" s="711"/>
      <c r="I24" s="711"/>
      <c r="J24" s="711"/>
      <c r="K24" s="711"/>
      <c r="L24" s="711"/>
      <c r="M24" s="711"/>
      <c r="N24" s="711"/>
      <c r="O24" s="711"/>
      <c r="P24" s="710">
        <v>15</v>
      </c>
      <c r="Q24" s="710">
        <v>10</v>
      </c>
      <c r="R24" s="710">
        <v>15</v>
      </c>
      <c r="S24" s="710">
        <v>20</v>
      </c>
      <c r="T24" s="710">
        <v>15</v>
      </c>
      <c r="U24" s="710"/>
      <c r="V24" s="710"/>
      <c r="W24" s="710"/>
      <c r="X24" s="710">
        <v>3</v>
      </c>
      <c r="Y24" s="709">
        <f>SUM(Z24:AC24)</f>
        <v>45</v>
      </c>
      <c r="Z24" s="709">
        <f>SUM(G24,P24)</f>
        <v>15</v>
      </c>
      <c r="AA24" s="709">
        <f>SUM(I24,R24)</f>
        <v>15</v>
      </c>
      <c r="AB24" s="709">
        <f>SUM(K24,T24)</f>
        <v>15</v>
      </c>
      <c r="AC24" s="709">
        <f>SUM(M24,V24)</f>
        <v>0</v>
      </c>
      <c r="AD24" s="709">
        <f>SUM(G24:N24,P24:W24)</f>
        <v>75</v>
      </c>
      <c r="AE24" s="709">
        <f>SUM(O24,X24)</f>
        <v>3</v>
      </c>
    </row>
    <row r="25" spans="1:31" ht="32.25" customHeight="1">
      <c r="A25" s="741">
        <v>6.7</v>
      </c>
      <c r="B25" s="743" t="s">
        <v>68</v>
      </c>
      <c r="C25" s="715" t="str">
        <f>"0912-7LEK-C"&amp;A25&amp;"-"&amp;UPPER(LEFT(B25,1))</f>
        <v>0912-7LEK-C6,7-O</v>
      </c>
      <c r="D25" s="714">
        <v>9</v>
      </c>
      <c r="E25" s="712">
        <v>9</v>
      </c>
      <c r="F25" s="712"/>
      <c r="G25" s="711">
        <v>15</v>
      </c>
      <c r="H25" s="711">
        <v>10</v>
      </c>
      <c r="I25" s="711">
        <v>15</v>
      </c>
      <c r="J25" s="711">
        <v>20</v>
      </c>
      <c r="K25" s="711">
        <v>15</v>
      </c>
      <c r="L25" s="711"/>
      <c r="M25" s="711"/>
      <c r="N25" s="711"/>
      <c r="O25" s="711">
        <v>3</v>
      </c>
      <c r="P25" s="710"/>
      <c r="Q25" s="710"/>
      <c r="R25" s="710"/>
      <c r="S25" s="710"/>
      <c r="T25" s="710"/>
      <c r="U25" s="710"/>
      <c r="V25" s="710"/>
      <c r="W25" s="710"/>
      <c r="X25" s="710"/>
      <c r="Y25" s="709">
        <f>SUM(Z25:AC25)</f>
        <v>45</v>
      </c>
      <c r="Z25" s="709">
        <f>SUM(G25,P25)</f>
        <v>15</v>
      </c>
      <c r="AA25" s="709">
        <f>SUM(I25,R25)</f>
        <v>15</v>
      </c>
      <c r="AB25" s="709">
        <f>SUM(K25,T25)</f>
        <v>15</v>
      </c>
      <c r="AC25" s="709">
        <f>SUM(M25,V25)</f>
        <v>0</v>
      </c>
      <c r="AD25" s="709">
        <f>SUM(G25:N25,P25:W25)</f>
        <v>75</v>
      </c>
      <c r="AE25" s="709">
        <f>SUM(O25,X25)</f>
        <v>3</v>
      </c>
    </row>
    <row r="26" spans="1:31" ht="32.25" customHeight="1">
      <c r="A26" s="741">
        <v>6.8</v>
      </c>
      <c r="B26" s="743" t="s">
        <v>69</v>
      </c>
      <c r="C26" s="715" t="str">
        <f>"0912-7LEK-C"&amp;A26&amp;"-"&amp;UPPER(LEFT(B26,1))</f>
        <v>0912-7LEK-C6,8-M</v>
      </c>
      <c r="D26" s="714">
        <v>9</v>
      </c>
      <c r="E26" s="712">
        <v>12</v>
      </c>
      <c r="F26" s="712"/>
      <c r="G26" s="711">
        <v>15</v>
      </c>
      <c r="H26" s="711">
        <v>10</v>
      </c>
      <c r="I26" s="711">
        <v>10</v>
      </c>
      <c r="J26" s="711"/>
      <c r="K26" s="711">
        <v>15</v>
      </c>
      <c r="L26" s="711"/>
      <c r="M26" s="711"/>
      <c r="N26" s="711"/>
      <c r="O26" s="711">
        <v>2</v>
      </c>
      <c r="P26" s="710"/>
      <c r="Q26" s="710"/>
      <c r="R26" s="710"/>
      <c r="S26" s="710"/>
      <c r="T26" s="710"/>
      <c r="U26" s="710"/>
      <c r="V26" s="710"/>
      <c r="W26" s="710"/>
      <c r="X26" s="710"/>
      <c r="Y26" s="709">
        <f>SUM(Z26:AC26)</f>
        <v>40</v>
      </c>
      <c r="Z26" s="709">
        <f>SUM(G26,P26)</f>
        <v>15</v>
      </c>
      <c r="AA26" s="709">
        <f>SUM(I26,R26)</f>
        <v>10</v>
      </c>
      <c r="AB26" s="709">
        <f>SUM(K26,T26)</f>
        <v>15</v>
      </c>
      <c r="AC26" s="709">
        <f>SUM(M26,V26)</f>
        <v>0</v>
      </c>
      <c r="AD26" s="709">
        <f>SUM(G26:N26,P26:W26)</f>
        <v>50</v>
      </c>
      <c r="AE26" s="709">
        <f>SUM(O26,X26)</f>
        <v>2</v>
      </c>
    </row>
    <row r="27" spans="1:31" ht="32.25" customHeight="1">
      <c r="A27" s="741">
        <v>6.9</v>
      </c>
      <c r="B27" s="743" t="s">
        <v>70</v>
      </c>
      <c r="C27" s="715" t="str">
        <f>"0912-7LEK-C"&amp;A27&amp;"-"&amp;UPPER(LEFT(B27,1))</f>
        <v>0912-7LEK-C6,9-G</v>
      </c>
      <c r="D27" s="714">
        <v>12</v>
      </c>
      <c r="E27" s="712" t="s">
        <v>202</v>
      </c>
      <c r="F27" s="712"/>
      <c r="G27" s="711">
        <v>15</v>
      </c>
      <c r="H27" s="711">
        <v>10</v>
      </c>
      <c r="I27" s="711">
        <v>20</v>
      </c>
      <c r="J27" s="711">
        <v>10</v>
      </c>
      <c r="K27" s="711">
        <v>20</v>
      </c>
      <c r="L27" s="711"/>
      <c r="M27" s="711"/>
      <c r="N27" s="711"/>
      <c r="O27" s="711">
        <v>3</v>
      </c>
      <c r="P27" s="710">
        <v>15</v>
      </c>
      <c r="Q27" s="710">
        <v>10</v>
      </c>
      <c r="R27" s="710">
        <v>15</v>
      </c>
      <c r="S27" s="710">
        <v>10</v>
      </c>
      <c r="T27" s="710">
        <v>25</v>
      </c>
      <c r="U27" s="710"/>
      <c r="V27" s="710"/>
      <c r="W27" s="710"/>
      <c r="X27" s="710">
        <v>3</v>
      </c>
      <c r="Y27" s="709">
        <f>SUM(Z27:AC27)</f>
        <v>110</v>
      </c>
      <c r="Z27" s="709">
        <f>SUM(G27,P27)</f>
        <v>30</v>
      </c>
      <c r="AA27" s="709">
        <f>SUM(I27,R27)</f>
        <v>35</v>
      </c>
      <c r="AB27" s="709">
        <f>SUM(K27,T27)</f>
        <v>45</v>
      </c>
      <c r="AC27" s="709">
        <f>SUM(M27,V27)</f>
        <v>0</v>
      </c>
      <c r="AD27" s="709">
        <f>SUM(G27:N27,P27:W27)</f>
        <v>150</v>
      </c>
      <c r="AE27" s="709">
        <f>SUM(O27,X27)</f>
        <v>6</v>
      </c>
    </row>
    <row r="28" spans="1:31" ht="32.25" customHeight="1">
      <c r="A28" s="716" t="s">
        <v>254</v>
      </c>
      <c r="B28" s="743" t="s">
        <v>71</v>
      </c>
      <c r="C28" s="715" t="str">
        <f>"0912-7LEK-C"&amp;A28&amp;"-"&amp;UPPER(LEFT(B28,1))</f>
        <v>0912-7LEK-C6.10-O</v>
      </c>
      <c r="D28" s="714">
        <v>10</v>
      </c>
      <c r="E28" s="712">
        <v>10</v>
      </c>
      <c r="F28" s="712"/>
      <c r="G28" s="711"/>
      <c r="H28" s="711"/>
      <c r="I28" s="711"/>
      <c r="J28" s="711"/>
      <c r="K28" s="711"/>
      <c r="L28" s="711"/>
      <c r="M28" s="711"/>
      <c r="N28" s="711"/>
      <c r="O28" s="711"/>
      <c r="P28" s="710">
        <v>15</v>
      </c>
      <c r="Q28" s="710">
        <v>10</v>
      </c>
      <c r="R28" s="710">
        <v>10</v>
      </c>
      <c r="S28" s="710"/>
      <c r="T28" s="710">
        <v>15</v>
      </c>
      <c r="U28" s="710"/>
      <c r="V28" s="710"/>
      <c r="W28" s="710"/>
      <c r="X28" s="710">
        <v>2</v>
      </c>
      <c r="Y28" s="709">
        <f>SUM(Z28:AC28)</f>
        <v>40</v>
      </c>
      <c r="Z28" s="709">
        <f>SUM(G28,P28)</f>
        <v>15</v>
      </c>
      <c r="AA28" s="709">
        <f>SUM(I28,R28)</f>
        <v>10</v>
      </c>
      <c r="AB28" s="709">
        <f>SUM(K28,T28)</f>
        <v>15</v>
      </c>
      <c r="AC28" s="709">
        <f>SUM(M28,V28)</f>
        <v>0</v>
      </c>
      <c r="AD28" s="709">
        <f>SUM(G28:N28,P28:W28)</f>
        <v>50</v>
      </c>
      <c r="AE28" s="709">
        <f>SUM(O28,X28)</f>
        <v>2</v>
      </c>
    </row>
    <row r="29" spans="1:31" ht="32.25" customHeight="1">
      <c r="A29" s="745">
        <v>6.11</v>
      </c>
      <c r="B29" s="743" t="s">
        <v>73</v>
      </c>
      <c r="C29" s="715" t="str">
        <f>"0912-7LEK-C"&amp;A29&amp;"-"&amp;UPPER(LEFT(B29,1))</f>
        <v>0912-7LEK-C6,11-T</v>
      </c>
      <c r="D29" s="714">
        <v>9</v>
      </c>
      <c r="E29" s="712">
        <v>9</v>
      </c>
      <c r="F29" s="712"/>
      <c r="G29" s="711">
        <v>15</v>
      </c>
      <c r="H29" s="711">
        <v>10</v>
      </c>
      <c r="I29" s="711"/>
      <c r="J29" s="711"/>
      <c r="K29" s="711"/>
      <c r="L29" s="711"/>
      <c r="M29" s="711"/>
      <c r="N29" s="711"/>
      <c r="O29" s="711">
        <v>1</v>
      </c>
      <c r="P29" s="710"/>
      <c r="Q29" s="710"/>
      <c r="R29" s="710"/>
      <c r="S29" s="710"/>
      <c r="T29" s="710"/>
      <c r="U29" s="710"/>
      <c r="V29" s="710"/>
      <c r="W29" s="710"/>
      <c r="X29" s="710"/>
      <c r="Y29" s="709">
        <f>SUM(Z29:AC29)</f>
        <v>15</v>
      </c>
      <c r="Z29" s="709">
        <f>SUM(G29,P29)</f>
        <v>15</v>
      </c>
      <c r="AA29" s="709">
        <f>SUM(I29,R29)</f>
        <v>0</v>
      </c>
      <c r="AB29" s="709">
        <f>SUM(K29,T29)</f>
        <v>0</v>
      </c>
      <c r="AC29" s="709">
        <f>SUM(M29,V29)</f>
        <v>0</v>
      </c>
      <c r="AD29" s="709">
        <f>SUM(G29:N29,P29:W29)</f>
        <v>25</v>
      </c>
      <c r="AE29" s="709">
        <f>SUM(O29,X29)</f>
        <v>1</v>
      </c>
    </row>
    <row r="30" spans="1:31" ht="32.25" customHeight="1">
      <c r="A30" s="745">
        <v>6.12</v>
      </c>
      <c r="B30" s="743" t="s">
        <v>72</v>
      </c>
      <c r="C30" s="715" t="str">
        <f>"0912-7LEK-C"&amp;A30&amp;"-"&amp;UPPER(LEFT(B30,1))</f>
        <v>0912-7LEK-C6,12-N</v>
      </c>
      <c r="D30" s="714">
        <v>10</v>
      </c>
      <c r="E30" s="712">
        <v>10</v>
      </c>
      <c r="F30" s="712"/>
      <c r="G30" s="711"/>
      <c r="H30" s="711"/>
      <c r="I30" s="711"/>
      <c r="J30" s="711"/>
      <c r="K30" s="711"/>
      <c r="L30" s="711"/>
      <c r="M30" s="711"/>
      <c r="N30" s="711"/>
      <c r="O30" s="711"/>
      <c r="P30" s="710">
        <v>15</v>
      </c>
      <c r="Q30" s="710">
        <v>5</v>
      </c>
      <c r="R30" s="710">
        <v>15</v>
      </c>
      <c r="S30" s="710"/>
      <c r="T30" s="710">
        <v>15</v>
      </c>
      <c r="U30" s="710"/>
      <c r="V30" s="710"/>
      <c r="W30" s="710"/>
      <c r="X30" s="710">
        <v>2</v>
      </c>
      <c r="Y30" s="709">
        <f>SUM(Z30:AC30)</f>
        <v>45</v>
      </c>
      <c r="Z30" s="709">
        <f>SUM(G30,P30)</f>
        <v>15</v>
      </c>
      <c r="AA30" s="709">
        <f>SUM(I30,R30)</f>
        <v>15</v>
      </c>
      <c r="AB30" s="709">
        <f>SUM(K30,T30)</f>
        <v>15</v>
      </c>
      <c r="AC30" s="709">
        <f>SUM(M30,V30)</f>
        <v>0</v>
      </c>
      <c r="AD30" s="709">
        <f>SUM(G30:N30,P30:W30)</f>
        <v>50</v>
      </c>
      <c r="AE30" s="709">
        <f>SUM(O30,X30)</f>
        <v>2</v>
      </c>
    </row>
    <row r="31" spans="1:31" ht="15.75">
      <c r="A31" s="737" t="s">
        <v>9</v>
      </c>
      <c r="B31" s="736"/>
      <c r="C31" s="736"/>
      <c r="D31" s="736"/>
      <c r="E31" s="736"/>
      <c r="F31" s="735"/>
      <c r="G31" s="727">
        <f>SUM(G20:G30)</f>
        <v>105</v>
      </c>
      <c r="H31" s="727">
        <f>SUM(H20:H30)</f>
        <v>70</v>
      </c>
      <c r="I31" s="727">
        <f>SUM(I20:I30)</f>
        <v>90</v>
      </c>
      <c r="J31" s="727">
        <f>SUM(J20:J30)</f>
        <v>60</v>
      </c>
      <c r="K31" s="727">
        <f>SUM(K20:K30)</f>
        <v>125</v>
      </c>
      <c r="L31" s="727">
        <f>SUM(L20:L30)</f>
        <v>0</v>
      </c>
      <c r="M31" s="727">
        <f>SUM(M20:M30)</f>
        <v>0</v>
      </c>
      <c r="N31" s="727">
        <f>SUM(N20:N30)</f>
        <v>0</v>
      </c>
      <c r="O31" s="727">
        <f>SUM(O20:O30)</f>
        <v>18</v>
      </c>
      <c r="P31" s="727">
        <f>SUM(P20:P30)</f>
        <v>90</v>
      </c>
      <c r="Q31" s="727">
        <f>SUM(Q20:Q30)</f>
        <v>50</v>
      </c>
      <c r="R31" s="727">
        <f>SUM(R20:R30)</f>
        <v>80</v>
      </c>
      <c r="S31" s="727">
        <f>SUM(S20:S30)</f>
        <v>40</v>
      </c>
      <c r="T31" s="727">
        <f>SUM(T20:T30)</f>
        <v>115</v>
      </c>
      <c r="U31" s="727">
        <f>SUM(U20:U30)</f>
        <v>0</v>
      </c>
      <c r="V31" s="727">
        <f>SUM(V20:V30)</f>
        <v>0</v>
      </c>
      <c r="W31" s="727">
        <f>SUM(W20:W30)</f>
        <v>0</v>
      </c>
      <c r="X31" s="727">
        <f>SUM(X20:X30)</f>
        <v>15</v>
      </c>
      <c r="Y31" s="727">
        <f>SUM(Y20:Y30)</f>
        <v>605</v>
      </c>
      <c r="Z31" s="727">
        <f>SUM(Z20:Z30)</f>
        <v>195</v>
      </c>
      <c r="AA31" s="727">
        <f>SUM(AA20:AA30)</f>
        <v>170</v>
      </c>
      <c r="AB31" s="727">
        <f>SUM(AB20:AB30)</f>
        <v>240</v>
      </c>
      <c r="AC31" s="727">
        <f>SUM(AC20:AC30)</f>
        <v>0</v>
      </c>
      <c r="AD31" s="727">
        <f>SUM(AD20:AD30)</f>
        <v>825</v>
      </c>
      <c r="AE31" s="727">
        <f>SUM(AE20:AE30)</f>
        <v>33</v>
      </c>
    </row>
    <row r="32" spans="1:31" ht="21.75" customHeight="1">
      <c r="A32" s="734" t="s">
        <v>418</v>
      </c>
      <c r="B32" s="732"/>
      <c r="C32" s="733"/>
      <c r="D32" s="732"/>
      <c r="E32" s="732"/>
      <c r="F32" s="732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1"/>
      <c r="W32" s="731"/>
      <c r="X32" s="731"/>
      <c r="Y32" s="731"/>
      <c r="Z32" s="731"/>
      <c r="AA32" s="731"/>
      <c r="AB32" s="731"/>
      <c r="AC32" s="731"/>
      <c r="AD32" s="731"/>
      <c r="AE32" s="730"/>
    </row>
    <row r="33" spans="1:34" ht="31.5" customHeight="1">
      <c r="A33" s="741">
        <v>7.4</v>
      </c>
      <c r="B33" s="743" t="s">
        <v>78</v>
      </c>
      <c r="C33" s="715" t="str">
        <f>"0912-7LEK-B"&amp;A33&amp;"-"&amp;UPPER(LEFT(B33,1))</f>
        <v>0912-7LEK-B7,4-P</v>
      </c>
      <c r="D33" s="714"/>
      <c r="E33" s="712">
        <v>9</v>
      </c>
      <c r="F33" s="712"/>
      <c r="G33" s="711">
        <v>15</v>
      </c>
      <c r="H33" s="711">
        <v>10</v>
      </c>
      <c r="I33" s="711"/>
      <c r="J33" s="711"/>
      <c r="K33" s="711"/>
      <c r="L33" s="711"/>
      <c r="M33" s="711"/>
      <c r="N33" s="711"/>
      <c r="O33" s="711">
        <v>1</v>
      </c>
      <c r="P33" s="710"/>
      <c r="Q33" s="710"/>
      <c r="R33" s="710"/>
      <c r="S33" s="710"/>
      <c r="T33" s="710"/>
      <c r="U33" s="710"/>
      <c r="V33" s="710"/>
      <c r="W33" s="710"/>
      <c r="X33" s="710"/>
      <c r="Y33" s="709">
        <f>SUM(Z33:AC33)</f>
        <v>15</v>
      </c>
      <c r="Z33" s="709">
        <f>SUM(G33,P33)</f>
        <v>15</v>
      </c>
      <c r="AA33" s="709">
        <f>SUM(I33,R33)</f>
        <v>0</v>
      </c>
      <c r="AB33" s="709">
        <f>SUM(K33,T33)</f>
        <v>0</v>
      </c>
      <c r="AC33" s="709">
        <f>SUM(M33,V33)</f>
        <v>0</v>
      </c>
      <c r="AD33" s="709">
        <f>SUM(G33:N33,P33:W33)</f>
        <v>25</v>
      </c>
      <c r="AE33" s="709">
        <f>SUM(O33,X33)</f>
        <v>1</v>
      </c>
    </row>
    <row r="34" spans="1:34" ht="31.5" customHeight="1">
      <c r="A34" s="741">
        <v>7.5</v>
      </c>
      <c r="B34" s="743" t="s">
        <v>79</v>
      </c>
      <c r="C34" s="715" t="str">
        <f>"0912-7LEK-B"&amp;A34&amp;"-"&amp;UPPER(LEFT(B34,1))</f>
        <v>0912-7LEK-B7,5-M</v>
      </c>
      <c r="D34" s="714">
        <v>10</v>
      </c>
      <c r="E34" s="712">
        <v>10</v>
      </c>
      <c r="F34" s="712"/>
      <c r="G34" s="744"/>
      <c r="H34" s="744"/>
      <c r="I34" s="744"/>
      <c r="J34" s="744"/>
      <c r="K34" s="744"/>
      <c r="L34" s="744"/>
      <c r="M34" s="744"/>
      <c r="N34" s="744"/>
      <c r="O34" s="744"/>
      <c r="P34" s="710">
        <v>20</v>
      </c>
      <c r="Q34" s="710">
        <v>5</v>
      </c>
      <c r="R34" s="710">
        <v>15</v>
      </c>
      <c r="S34" s="710">
        <v>5</v>
      </c>
      <c r="T34" s="710">
        <v>5</v>
      </c>
      <c r="U34" s="710"/>
      <c r="V34" s="710"/>
      <c r="W34" s="710"/>
      <c r="X34" s="710">
        <v>2</v>
      </c>
      <c r="Y34" s="709">
        <f>SUM(Z34:AC34)</f>
        <v>40</v>
      </c>
      <c r="Z34" s="709">
        <f>SUM(G34,P34)</f>
        <v>20</v>
      </c>
      <c r="AA34" s="709">
        <f>SUM(I34,R34)</f>
        <v>15</v>
      </c>
      <c r="AB34" s="709">
        <f>SUM(K34,T34)</f>
        <v>5</v>
      </c>
      <c r="AC34" s="709">
        <f>SUM(M34,V34)</f>
        <v>0</v>
      </c>
      <c r="AD34" s="709">
        <f>SUM(G34:N34,P34:W34)</f>
        <v>50</v>
      </c>
      <c r="AE34" s="709">
        <f>SUM(O34,X34)</f>
        <v>2</v>
      </c>
    </row>
    <row r="35" spans="1:34" ht="15.75">
      <c r="A35" s="737" t="s">
        <v>9</v>
      </c>
      <c r="B35" s="736"/>
      <c r="C35" s="736"/>
      <c r="D35" s="736"/>
      <c r="E35" s="736"/>
      <c r="F35" s="735"/>
      <c r="G35" s="727">
        <f>SUM(G33:G34)</f>
        <v>15</v>
      </c>
      <c r="H35" s="727">
        <f>SUM(H33:H34)</f>
        <v>10</v>
      </c>
      <c r="I35" s="727">
        <f>SUM(I33:I34)</f>
        <v>0</v>
      </c>
      <c r="J35" s="727">
        <f>SUM(J33:J34)</f>
        <v>0</v>
      </c>
      <c r="K35" s="727">
        <f>SUM(K33:K34)</f>
        <v>0</v>
      </c>
      <c r="L35" s="727">
        <f>SUM(L33:L34)</f>
        <v>0</v>
      </c>
      <c r="M35" s="727">
        <f>SUM(M33:M34)</f>
        <v>0</v>
      </c>
      <c r="N35" s="727">
        <f>SUM(N33:N34)</f>
        <v>0</v>
      </c>
      <c r="O35" s="727">
        <f>SUM(O33:O34)</f>
        <v>1</v>
      </c>
      <c r="P35" s="727">
        <f>SUM(P33:P34)</f>
        <v>20</v>
      </c>
      <c r="Q35" s="727">
        <f>SUM(Q33:Q34)</f>
        <v>5</v>
      </c>
      <c r="R35" s="727">
        <f>SUM(R33:R34)</f>
        <v>15</v>
      </c>
      <c r="S35" s="727">
        <f>SUM(S33:S34)</f>
        <v>5</v>
      </c>
      <c r="T35" s="727">
        <f>SUM(T33:T34)</f>
        <v>5</v>
      </c>
      <c r="U35" s="727">
        <f>SUM(U33:U34)</f>
        <v>0</v>
      </c>
      <c r="V35" s="727">
        <f>SUM(V33:V34)</f>
        <v>0</v>
      </c>
      <c r="W35" s="727">
        <f>SUM(W33:W34)</f>
        <v>0</v>
      </c>
      <c r="X35" s="727">
        <f>SUM(X33:X34)</f>
        <v>2</v>
      </c>
      <c r="Y35" s="727">
        <f>SUM(Y33:Y34)</f>
        <v>55</v>
      </c>
      <c r="Z35" s="727">
        <f>SUM(Z33:Z34)</f>
        <v>35</v>
      </c>
      <c r="AA35" s="727">
        <f>SUM(AA33:AA34)</f>
        <v>15</v>
      </c>
      <c r="AB35" s="727">
        <f>SUM(AB33:AB34)</f>
        <v>5</v>
      </c>
      <c r="AC35" s="727">
        <f>SUM(AC33:AC34)</f>
        <v>0</v>
      </c>
      <c r="AD35" s="727">
        <f>SUM(AD33:AD34)</f>
        <v>75</v>
      </c>
      <c r="AE35" s="727">
        <f>SUM(AE33:AE34)</f>
        <v>3</v>
      </c>
    </row>
    <row r="36" spans="1:34" ht="19.5" customHeight="1">
      <c r="A36" s="734" t="s">
        <v>410</v>
      </c>
      <c r="B36" s="732"/>
      <c r="C36" s="733"/>
      <c r="D36" s="732"/>
      <c r="E36" s="732"/>
      <c r="F36" s="732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1"/>
      <c r="T36" s="731"/>
      <c r="U36" s="731"/>
      <c r="V36" s="731"/>
      <c r="W36" s="731"/>
      <c r="X36" s="731"/>
      <c r="Y36" s="731"/>
      <c r="Z36" s="731"/>
      <c r="AA36" s="731"/>
      <c r="AB36" s="731"/>
      <c r="AC36" s="731"/>
      <c r="AD36" s="731"/>
      <c r="AE36" s="730"/>
    </row>
    <row r="37" spans="1:34" ht="33.75" customHeight="1">
      <c r="A37" s="741">
        <v>9.6999999999999993</v>
      </c>
      <c r="B37" s="743" t="s">
        <v>81</v>
      </c>
      <c r="C37" s="715" t="str">
        <f>"0912-7LEK-C"&amp;A37&amp;"-"&amp;UPPER(LEFT(B37,1))</f>
        <v>0912-7LEK-C9,7-C</v>
      </c>
      <c r="D37" s="714"/>
      <c r="E37" s="712">
        <v>10</v>
      </c>
      <c r="F37" s="712"/>
      <c r="G37" s="711"/>
      <c r="H37" s="711"/>
      <c r="I37" s="711"/>
      <c r="J37" s="711"/>
      <c r="K37" s="711"/>
      <c r="L37" s="711"/>
      <c r="M37" s="711"/>
      <c r="N37" s="711"/>
      <c r="O37" s="711"/>
      <c r="P37" s="710"/>
      <c r="Q37" s="710"/>
      <c r="R37" s="710"/>
      <c r="S37" s="710"/>
      <c r="T37" s="710">
        <v>60</v>
      </c>
      <c r="U37" s="710"/>
      <c r="V37" s="710"/>
      <c r="W37" s="710"/>
      <c r="X37" s="710">
        <v>2</v>
      </c>
      <c r="Y37" s="709">
        <f>SUM(Z37:AC37)</f>
        <v>60</v>
      </c>
      <c r="Z37" s="709">
        <f>SUM(G37,P37)</f>
        <v>0</v>
      </c>
      <c r="AA37" s="709">
        <f>SUM(I37,R37)</f>
        <v>0</v>
      </c>
      <c r="AB37" s="709">
        <f>SUM(K37,T37)</f>
        <v>60</v>
      </c>
      <c r="AC37" s="709">
        <f>SUM(M37,V37)</f>
        <v>0</v>
      </c>
      <c r="AD37" s="709">
        <f>SUM(G37:N37,P37:W37)</f>
        <v>60</v>
      </c>
      <c r="AE37" s="709">
        <f>SUM(O37,X37)</f>
        <v>2</v>
      </c>
    </row>
    <row r="38" spans="1:34" ht="33.75" customHeight="1">
      <c r="A38" s="741">
        <v>9.8000000000000007</v>
      </c>
      <c r="B38" s="743" t="s">
        <v>70</v>
      </c>
      <c r="C38" s="715" t="str">
        <f>"0912-7LEK-C"&amp;A38&amp;"-"&amp;UPPER(LEFT(B38,1))</f>
        <v>0912-7LEK-C9,8-G</v>
      </c>
      <c r="D38" s="714"/>
      <c r="E38" s="712">
        <v>10</v>
      </c>
      <c r="F38" s="712"/>
      <c r="G38" s="711"/>
      <c r="H38" s="711"/>
      <c r="I38" s="711"/>
      <c r="J38" s="711"/>
      <c r="K38" s="711"/>
      <c r="L38" s="711"/>
      <c r="M38" s="711"/>
      <c r="N38" s="711"/>
      <c r="O38" s="711"/>
      <c r="P38" s="710"/>
      <c r="Q38" s="710"/>
      <c r="R38" s="710"/>
      <c r="S38" s="710"/>
      <c r="T38" s="710">
        <v>60</v>
      </c>
      <c r="U38" s="710"/>
      <c r="V38" s="710"/>
      <c r="W38" s="710"/>
      <c r="X38" s="710">
        <v>2</v>
      </c>
      <c r="Y38" s="709">
        <f>SUM(Z38:AC38)</f>
        <v>60</v>
      </c>
      <c r="Z38" s="709">
        <f>SUM(G38,P38)</f>
        <v>0</v>
      </c>
      <c r="AA38" s="709">
        <f>SUM(I38,R38)</f>
        <v>0</v>
      </c>
      <c r="AB38" s="709">
        <f>SUM(K38,T38)</f>
        <v>60</v>
      </c>
      <c r="AC38" s="709">
        <f>SUM(M38,V38)</f>
        <v>0</v>
      </c>
      <c r="AD38" s="709">
        <f>SUM(G38:N38,P38:W38)</f>
        <v>60</v>
      </c>
      <c r="AE38" s="709">
        <f>SUM(O38,X38)</f>
        <v>2</v>
      </c>
    </row>
    <row r="39" spans="1:34" ht="20.25" customHeight="1">
      <c r="A39" s="737" t="s">
        <v>9</v>
      </c>
      <c r="B39" s="736"/>
      <c r="C39" s="736"/>
      <c r="D39" s="736"/>
      <c r="E39" s="736"/>
      <c r="F39" s="735"/>
      <c r="G39" s="727">
        <f>SUM(G37:G38)</f>
        <v>0</v>
      </c>
      <c r="H39" s="727">
        <f>SUM(H37:H38)</f>
        <v>0</v>
      </c>
      <c r="I39" s="727">
        <f>SUM(I37:I38)</f>
        <v>0</v>
      </c>
      <c r="J39" s="727">
        <f>SUM(J37:J38)</f>
        <v>0</v>
      </c>
      <c r="K39" s="727">
        <f>SUM(K37:K38)</f>
        <v>0</v>
      </c>
      <c r="L39" s="727">
        <f>SUM(L37:L38)</f>
        <v>0</v>
      </c>
      <c r="M39" s="727">
        <f>SUM(M37:M38)</f>
        <v>0</v>
      </c>
      <c r="N39" s="727">
        <f>SUM(N37:N38)</f>
        <v>0</v>
      </c>
      <c r="O39" s="727">
        <f>SUM(O37:O38)</f>
        <v>0</v>
      </c>
      <c r="P39" s="727">
        <f>SUM(P37:P38)</f>
        <v>0</v>
      </c>
      <c r="Q39" s="727">
        <f>SUM(Q37:Q38)</f>
        <v>0</v>
      </c>
      <c r="R39" s="727">
        <f>SUM(R37:R38)</f>
        <v>0</v>
      </c>
      <c r="S39" s="727">
        <f>SUM(S37:S38)</f>
        <v>0</v>
      </c>
      <c r="T39" s="727">
        <f>SUM(T37:T38)</f>
        <v>120</v>
      </c>
      <c r="U39" s="727">
        <f>SUM(U37:U38)</f>
        <v>0</v>
      </c>
      <c r="V39" s="727">
        <f>SUM(V37:V38)</f>
        <v>0</v>
      </c>
      <c r="W39" s="727">
        <f>SUM(W37:W38)</f>
        <v>0</v>
      </c>
      <c r="X39" s="727">
        <f>SUM(X37:X38)</f>
        <v>4</v>
      </c>
      <c r="Y39" s="727">
        <f>SUM(Y37:Y38)</f>
        <v>120</v>
      </c>
      <c r="Z39" s="727">
        <f>SUM(Z37:Z38)</f>
        <v>0</v>
      </c>
      <c r="AA39" s="727">
        <f>SUM(AA37:AA38)</f>
        <v>0</v>
      </c>
      <c r="AB39" s="727">
        <f>SUM(AB37:AB38)</f>
        <v>120</v>
      </c>
      <c r="AC39" s="727">
        <f>SUM(AC37:AC38)</f>
        <v>0</v>
      </c>
      <c r="AD39" s="727">
        <f>SUM(AD37:AD38)</f>
        <v>120</v>
      </c>
      <c r="AE39" s="727">
        <f>SUM(AE37:AE38)</f>
        <v>4</v>
      </c>
    </row>
    <row r="40" spans="1:34" ht="20.25" hidden="1" customHeight="1">
      <c r="A40" s="734" t="s">
        <v>306</v>
      </c>
      <c r="B40" s="732"/>
      <c r="C40" s="733"/>
      <c r="D40" s="742"/>
      <c r="E40" s="742"/>
      <c r="F40" s="742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731"/>
      <c r="R40" s="731"/>
      <c r="S40" s="731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0"/>
    </row>
    <row r="41" spans="1:34" ht="30" hidden="1" customHeight="1">
      <c r="A41" s="741">
        <v>11.3</v>
      </c>
      <c r="B41" s="740" t="s">
        <v>108</v>
      </c>
      <c r="C41" s="715" t="str">
        <f>"0912-7LEK-A"&amp;A41&amp;"-"&amp;UPPER(LEFT(B41,1))&amp;"F"</f>
        <v>0912-7LEK-A11,3-WF</v>
      </c>
      <c r="D41" s="714"/>
      <c r="E41" s="739"/>
      <c r="F41" s="712" t="s">
        <v>121</v>
      </c>
      <c r="G41" s="711"/>
      <c r="H41" s="711"/>
      <c r="I41" s="711"/>
      <c r="J41" s="711"/>
      <c r="K41" s="711"/>
      <c r="L41" s="711"/>
      <c r="M41" s="711"/>
      <c r="N41" s="711"/>
      <c r="O41" s="711">
        <v>0</v>
      </c>
      <c r="P41" s="710"/>
      <c r="Q41" s="710"/>
      <c r="R41" s="710"/>
      <c r="S41" s="710"/>
      <c r="T41" s="710"/>
      <c r="U41" s="710"/>
      <c r="V41" s="710"/>
      <c r="W41" s="710"/>
      <c r="X41" s="710">
        <v>0</v>
      </c>
      <c r="Y41" s="738">
        <f>SUM(Z41:AC41)</f>
        <v>0</v>
      </c>
      <c r="Z41" s="738">
        <f>SUM(G41,P41)</f>
        <v>0</v>
      </c>
      <c r="AA41" s="738">
        <f>SUM(I41,R41)</f>
        <v>0</v>
      </c>
      <c r="AB41" s="738">
        <f>SUM(K41,T41)</f>
        <v>0</v>
      </c>
      <c r="AC41" s="738">
        <f>SUM(M41,V41)</f>
        <v>0</v>
      </c>
      <c r="AD41" s="738">
        <f>SUM(G41:N41,P41:W41)</f>
        <v>0</v>
      </c>
      <c r="AE41" s="738">
        <f>SUM(O41,X41)</f>
        <v>0</v>
      </c>
    </row>
    <row r="42" spans="1:34" ht="20.25" hidden="1" customHeight="1">
      <c r="A42" s="737" t="s">
        <v>9</v>
      </c>
      <c r="B42" s="736"/>
      <c r="C42" s="736"/>
      <c r="D42" s="736"/>
      <c r="E42" s="736"/>
      <c r="F42" s="735"/>
      <c r="G42" s="727">
        <f>SUM(G41:G41)</f>
        <v>0</v>
      </c>
      <c r="H42" s="727">
        <f>SUM(H41:H41)</f>
        <v>0</v>
      </c>
      <c r="I42" s="727">
        <f>SUM(I41:I41)</f>
        <v>0</v>
      </c>
      <c r="J42" s="727">
        <f>SUM(J41:J41)</f>
        <v>0</v>
      </c>
      <c r="K42" s="727">
        <f>SUM(K41:K41)</f>
        <v>0</v>
      </c>
      <c r="L42" s="727">
        <f>SUM(L41:L41)</f>
        <v>0</v>
      </c>
      <c r="M42" s="727">
        <f>SUM(M41:M41)</f>
        <v>0</v>
      </c>
      <c r="N42" s="727">
        <f>SUM(N41:N41)</f>
        <v>0</v>
      </c>
      <c r="O42" s="727">
        <f>SUM(O41:O41)</f>
        <v>0</v>
      </c>
      <c r="P42" s="727">
        <f>SUM(P41:P41)</f>
        <v>0</v>
      </c>
      <c r="Q42" s="727">
        <f>SUM(Q41:Q41)</f>
        <v>0</v>
      </c>
      <c r="R42" s="727">
        <f>SUM(R41:R41)</f>
        <v>0</v>
      </c>
      <c r="S42" s="727">
        <f>SUM(S41:S41)</f>
        <v>0</v>
      </c>
      <c r="T42" s="727">
        <f>SUM(T41:T41)</f>
        <v>0</v>
      </c>
      <c r="U42" s="727">
        <f>SUM(U41:U41)</f>
        <v>0</v>
      </c>
      <c r="V42" s="727">
        <f>SUM(V41:V41)</f>
        <v>0</v>
      </c>
      <c r="W42" s="727">
        <f>SUM(W41:W41)</f>
        <v>0</v>
      </c>
      <c r="X42" s="727">
        <f>SUM(X41:X41)</f>
        <v>0</v>
      </c>
      <c r="Y42" s="727">
        <f>SUM(Y41:Y41)</f>
        <v>0</v>
      </c>
      <c r="Z42" s="727">
        <f>SUM(Z41:Z41)</f>
        <v>0</v>
      </c>
      <c r="AA42" s="727">
        <f>SUM(AA41:AA41)</f>
        <v>0</v>
      </c>
      <c r="AB42" s="727">
        <f>SUM(AB41:AB41)</f>
        <v>0</v>
      </c>
      <c r="AC42" s="727">
        <f>SUM(AC41:AC41)</f>
        <v>0</v>
      </c>
      <c r="AD42" s="727">
        <f>SUM(AD41:AD41)</f>
        <v>0</v>
      </c>
      <c r="AE42" s="727">
        <f>SUM(AE41:AE41)</f>
        <v>0</v>
      </c>
    </row>
    <row r="43" spans="1:34" ht="22.5" customHeight="1">
      <c r="A43" s="734" t="s">
        <v>415</v>
      </c>
      <c r="B43" s="732"/>
      <c r="C43" s="733"/>
      <c r="D43" s="732"/>
      <c r="E43" s="732"/>
      <c r="F43" s="732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0"/>
    </row>
    <row r="44" spans="1:34" ht="30" customHeight="1">
      <c r="A44" s="716" t="s">
        <v>150</v>
      </c>
      <c r="B44" s="579" t="s">
        <v>116</v>
      </c>
      <c r="C44" s="594"/>
      <c r="D44" s="580"/>
      <c r="E44" s="712">
        <v>9</v>
      </c>
      <c r="F44" s="712"/>
      <c r="G44" s="711">
        <v>15</v>
      </c>
      <c r="H44" s="711">
        <v>10</v>
      </c>
      <c r="I44" s="711">
        <v>15</v>
      </c>
      <c r="J44" s="711">
        <v>10</v>
      </c>
      <c r="K44" s="711"/>
      <c r="L44" s="711"/>
      <c r="M44" s="711"/>
      <c r="N44" s="711"/>
      <c r="O44" s="711">
        <v>2</v>
      </c>
      <c r="P44" s="710"/>
      <c r="Q44" s="710"/>
      <c r="R44" s="710"/>
      <c r="S44" s="710"/>
      <c r="T44" s="710"/>
      <c r="U44" s="710"/>
      <c r="V44" s="710"/>
      <c r="W44" s="710"/>
      <c r="X44" s="710"/>
      <c r="Y44" s="709">
        <f>SUM(Z44:AC44)</f>
        <v>30</v>
      </c>
      <c r="Z44" s="709">
        <f>SUM(G44,P44)</f>
        <v>15</v>
      </c>
      <c r="AA44" s="709">
        <f>SUM(I44,R44)</f>
        <v>15</v>
      </c>
      <c r="AB44" s="709">
        <f>SUM(K44,T44)</f>
        <v>0</v>
      </c>
      <c r="AC44" s="709">
        <f>SUM(M44,V44)</f>
        <v>0</v>
      </c>
      <c r="AD44" s="709">
        <f>SUM(G44:N44,P44:W44)</f>
        <v>50</v>
      </c>
      <c r="AE44" s="709">
        <f>SUM(O44,X44)</f>
        <v>2</v>
      </c>
    </row>
    <row r="45" spans="1:34" ht="30" customHeight="1">
      <c r="A45" s="716" t="s">
        <v>190</v>
      </c>
      <c r="B45" s="579" t="s">
        <v>116</v>
      </c>
      <c r="C45" s="594"/>
      <c r="D45" s="580"/>
      <c r="E45" s="712">
        <v>9</v>
      </c>
      <c r="F45" s="712"/>
      <c r="G45" s="711"/>
      <c r="H45" s="711"/>
      <c r="I45" s="711">
        <v>15</v>
      </c>
      <c r="J45" s="711">
        <v>10</v>
      </c>
      <c r="K45" s="711"/>
      <c r="L45" s="711"/>
      <c r="M45" s="711"/>
      <c r="N45" s="711"/>
      <c r="O45" s="711">
        <v>1</v>
      </c>
      <c r="P45" s="710"/>
      <c r="Q45" s="710"/>
      <c r="R45" s="710"/>
      <c r="S45" s="710"/>
      <c r="T45" s="710"/>
      <c r="U45" s="710"/>
      <c r="V45" s="710"/>
      <c r="W45" s="710"/>
      <c r="X45" s="710"/>
      <c r="Y45" s="709">
        <f>SUM(Z45:AC45)</f>
        <v>15</v>
      </c>
      <c r="Z45" s="709">
        <f>SUM(G45,P45)</f>
        <v>0</v>
      </c>
      <c r="AA45" s="709">
        <f>SUM(I45,R45)</f>
        <v>15</v>
      </c>
      <c r="AB45" s="709">
        <f>SUM(K45,T45)</f>
        <v>0</v>
      </c>
      <c r="AC45" s="709">
        <f>SUM(M45,V45)</f>
        <v>0</v>
      </c>
      <c r="AD45" s="709">
        <f>SUM(G45:N45,P45:W45)</f>
        <v>25</v>
      </c>
      <c r="AE45" s="709">
        <f>SUM(O45,X45)</f>
        <v>1</v>
      </c>
    </row>
    <row r="46" spans="1:34" ht="30" customHeight="1">
      <c r="A46" s="716" t="s">
        <v>191</v>
      </c>
      <c r="B46" s="579" t="s">
        <v>116</v>
      </c>
      <c r="C46" s="594"/>
      <c r="D46" s="580"/>
      <c r="E46" s="712">
        <v>10</v>
      </c>
      <c r="F46" s="712"/>
      <c r="G46" s="711"/>
      <c r="H46" s="711"/>
      <c r="I46" s="711"/>
      <c r="J46" s="711"/>
      <c r="K46" s="711"/>
      <c r="L46" s="711"/>
      <c r="M46" s="711"/>
      <c r="N46" s="711"/>
      <c r="O46" s="711"/>
      <c r="P46" s="710">
        <v>15</v>
      </c>
      <c r="Q46" s="710">
        <v>10</v>
      </c>
      <c r="R46" s="710"/>
      <c r="S46" s="710"/>
      <c r="T46" s="710"/>
      <c r="U46" s="710"/>
      <c r="V46" s="710"/>
      <c r="W46" s="710"/>
      <c r="X46" s="710">
        <v>1</v>
      </c>
      <c r="Y46" s="709">
        <f>SUM(Z46:AC46)</f>
        <v>15</v>
      </c>
      <c r="Z46" s="709">
        <f>SUM(G46,P46)</f>
        <v>15</v>
      </c>
      <c r="AA46" s="709">
        <f>SUM(I46,R46)</f>
        <v>0</v>
      </c>
      <c r="AB46" s="709">
        <f>SUM(K46,T46)</f>
        <v>0</v>
      </c>
      <c r="AC46" s="709">
        <f>SUM(M46,V46)</f>
        <v>0</v>
      </c>
      <c r="AD46" s="709">
        <f>SUM(G46:N46,P46:W46)</f>
        <v>25</v>
      </c>
      <c r="AE46" s="709">
        <f>SUM(O46,X46)</f>
        <v>1</v>
      </c>
    </row>
    <row r="47" spans="1:34" ht="30" customHeight="1">
      <c r="A47" s="729" t="s">
        <v>192</v>
      </c>
      <c r="B47" s="579" t="s">
        <v>307</v>
      </c>
      <c r="C47" s="594"/>
      <c r="D47" s="580"/>
      <c r="E47" s="713" t="s">
        <v>249</v>
      </c>
      <c r="F47" s="705"/>
      <c r="G47" s="711"/>
      <c r="H47" s="711"/>
      <c r="I47" s="711">
        <v>30</v>
      </c>
      <c r="J47" s="711">
        <v>20</v>
      </c>
      <c r="K47" s="711"/>
      <c r="L47" s="711"/>
      <c r="M47" s="711"/>
      <c r="N47" s="711"/>
      <c r="O47" s="711">
        <v>2</v>
      </c>
      <c r="P47" s="710"/>
      <c r="Q47" s="710"/>
      <c r="R47" s="710">
        <v>30</v>
      </c>
      <c r="S47" s="710">
        <v>20</v>
      </c>
      <c r="T47" s="710"/>
      <c r="U47" s="710"/>
      <c r="V47" s="710"/>
      <c r="W47" s="710"/>
      <c r="X47" s="710">
        <v>2</v>
      </c>
      <c r="Y47" s="709">
        <f>SUM(Z47:AC47)</f>
        <v>60</v>
      </c>
      <c r="Z47" s="709">
        <f>SUM(G47,P47)</f>
        <v>0</v>
      </c>
      <c r="AA47" s="709">
        <f>SUM(I47,R47)</f>
        <v>60</v>
      </c>
      <c r="AB47" s="709">
        <f>SUM(K47,T47)</f>
        <v>0</v>
      </c>
      <c r="AC47" s="709">
        <f>SUM(M47,V47)</f>
        <v>0</v>
      </c>
      <c r="AD47" s="709">
        <f>SUM(G47:N47,P47:W47)</f>
        <v>100</v>
      </c>
      <c r="AE47" s="709">
        <f>SUM(O47,X47)</f>
        <v>4</v>
      </c>
      <c r="AF47" s="728"/>
      <c r="AG47" s="728"/>
      <c r="AH47" s="728"/>
    </row>
    <row r="48" spans="1:34" ht="16.5" customHeight="1" thickBot="1">
      <c r="A48" s="531" t="s">
        <v>9</v>
      </c>
      <c r="B48" s="532"/>
      <c r="C48" s="532"/>
      <c r="D48" s="532"/>
      <c r="E48" s="532"/>
      <c r="F48" s="533"/>
      <c r="G48" s="727">
        <f>SUM(G44:G47)</f>
        <v>15</v>
      </c>
      <c r="H48" s="727">
        <f>SUM(H44:H47)</f>
        <v>10</v>
      </c>
      <c r="I48" s="727">
        <f>SUM(I44:I47)</f>
        <v>60</v>
      </c>
      <c r="J48" s="727">
        <f>SUM(J44:J47)</f>
        <v>40</v>
      </c>
      <c r="K48" s="727">
        <f>SUM(K44:K47)</f>
        <v>0</v>
      </c>
      <c r="L48" s="727">
        <f>SUM(L44:L47)</f>
        <v>0</v>
      </c>
      <c r="M48" s="727">
        <f>SUM(M44:M47)</f>
        <v>0</v>
      </c>
      <c r="N48" s="727">
        <f>SUM(N44:N47)</f>
        <v>0</v>
      </c>
      <c r="O48" s="727">
        <f>SUM(O44:O47)</f>
        <v>5</v>
      </c>
      <c r="P48" s="727">
        <f>SUM(P44:P47)</f>
        <v>15</v>
      </c>
      <c r="Q48" s="727">
        <f>SUM(Q44:Q47)</f>
        <v>10</v>
      </c>
      <c r="R48" s="727">
        <f>SUM(R44:R47)</f>
        <v>30</v>
      </c>
      <c r="S48" s="727">
        <f>SUM(S44:S47)</f>
        <v>20</v>
      </c>
      <c r="T48" s="727">
        <f>SUM(T44:T47)</f>
        <v>0</v>
      </c>
      <c r="U48" s="727">
        <f>SUM(U44:U47)</f>
        <v>0</v>
      </c>
      <c r="V48" s="727">
        <f>SUM(V44:V47)</f>
        <v>0</v>
      </c>
      <c r="W48" s="727">
        <f>SUM(W44:W47)</f>
        <v>0</v>
      </c>
      <c r="X48" s="727">
        <f>SUM(X44:X47)</f>
        <v>3</v>
      </c>
      <c r="Y48" s="727">
        <f>SUM(Y44:Y47)</f>
        <v>120</v>
      </c>
      <c r="Z48" s="727">
        <f>SUM(Z44:Z47)</f>
        <v>30</v>
      </c>
      <c r="AA48" s="727">
        <f>SUM(AA44:AA47)</f>
        <v>90</v>
      </c>
      <c r="AB48" s="727">
        <f>SUM(AB44:AB47)</f>
        <v>0</v>
      </c>
      <c r="AC48" s="727">
        <f>SUM(AC44:AC47)</f>
        <v>0</v>
      </c>
      <c r="AD48" s="727">
        <f>SUM(AD44:AD47)</f>
        <v>200</v>
      </c>
      <c r="AE48" s="727">
        <f>SUM(AE44:AE47)</f>
        <v>8</v>
      </c>
    </row>
    <row r="49" spans="1:31" ht="23.25" customHeight="1" thickBot="1">
      <c r="A49" s="726" t="s">
        <v>21</v>
      </c>
      <c r="B49" s="725"/>
      <c r="C49" s="725"/>
      <c r="D49" s="725"/>
      <c r="E49" s="725"/>
      <c r="F49" s="724"/>
      <c r="G49" s="723">
        <f>G12+G18+G31+G35+G39+G42+G48</f>
        <v>175</v>
      </c>
      <c r="H49" s="723">
        <f>H12+H18+H31+H35+H39+H42+H48</f>
        <v>115</v>
      </c>
      <c r="I49" s="723">
        <f>I12+I18+I31+I35+I39+I42+I48</f>
        <v>195</v>
      </c>
      <c r="J49" s="723">
        <f>J12+J18+J31+J35+J39+J42+J48</f>
        <v>135</v>
      </c>
      <c r="K49" s="723">
        <f>K12+K18+K31+K35+K39+K42+K48</f>
        <v>155</v>
      </c>
      <c r="L49" s="723">
        <f>L12+L18+L31+L35+L39+L42+L48</f>
        <v>0</v>
      </c>
      <c r="M49" s="723">
        <f>M12+M18+M31+M35+M39+M42+M48</f>
        <v>0</v>
      </c>
      <c r="N49" s="723">
        <f>N12+N18+N31+N35+N39+N42+N48</f>
        <v>0</v>
      </c>
      <c r="O49" s="723">
        <f>O12+O18+O31+O35+O39+O42+O48</f>
        <v>31</v>
      </c>
      <c r="P49" s="723">
        <f>P12+P18+P31+P35+P39+P42+P48</f>
        <v>170</v>
      </c>
      <c r="Q49" s="723">
        <f>Q12+Q18+Q31+Q35+Q39+Q42+Q48</f>
        <v>95</v>
      </c>
      <c r="R49" s="723">
        <f>R12+R18+R31+R35+R39+R42+R48</f>
        <v>165</v>
      </c>
      <c r="S49" s="723">
        <f>S12+S18+S31+S35+S39+S42+S48</f>
        <v>80</v>
      </c>
      <c r="T49" s="723">
        <f>T12+T18+T31+T35+T39+T42+T48</f>
        <v>285</v>
      </c>
      <c r="U49" s="723">
        <f>U12+U18+U31+U35+U39+U42+U48</f>
        <v>0</v>
      </c>
      <c r="V49" s="723">
        <f>V12+V18+V31+V35+V39+V42+V48</f>
        <v>0</v>
      </c>
      <c r="W49" s="723">
        <f>W12+W18+W31+W35+W39+W42+W48</f>
        <v>0</v>
      </c>
      <c r="X49" s="723">
        <f>X12+X18+X31+X35+X39+X42+X48</f>
        <v>31</v>
      </c>
      <c r="Y49" s="723">
        <f>Y12+Y18+Y31+Y35+Y39+Y42+Y48</f>
        <v>1145</v>
      </c>
      <c r="Z49" s="723">
        <f>Z12+Z18+Z31+Z35+Z39+Z42+Z48</f>
        <v>345</v>
      </c>
      <c r="AA49" s="723">
        <f>AA12+AA18+AA31+AA35+AA39+AA42+AA48</f>
        <v>360</v>
      </c>
      <c r="AB49" s="723">
        <f>AB12+AB18+AB31+AB35+AB39+AB42+AB48</f>
        <v>440</v>
      </c>
      <c r="AC49" s="723">
        <f>AC12+AC18+AC31+AC35+AC39+AC42+AC48</f>
        <v>0</v>
      </c>
      <c r="AD49" s="723">
        <f>AD12+AD18+AD31+AD35+AD39+AD42+AD48</f>
        <v>1570</v>
      </c>
      <c r="AE49" s="723">
        <f>AE12+AE18+AE31+AE35+AE39+AE42+AE48</f>
        <v>62</v>
      </c>
    </row>
    <row r="50" spans="1:31" ht="30" customHeight="1">
      <c r="A50" s="722"/>
      <c r="B50" s="721"/>
      <c r="C50" s="720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705"/>
      <c r="AB50" s="705"/>
      <c r="AC50" s="705"/>
      <c r="AD50" s="705"/>
      <c r="AE50" s="705"/>
    </row>
    <row r="51" spans="1:31" ht="18">
      <c r="A51" s="719" t="s">
        <v>364</v>
      </c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</row>
    <row r="52" spans="1:31" ht="29.25" customHeight="1">
      <c r="A52" s="716" t="s">
        <v>212</v>
      </c>
      <c r="B52" s="61" t="s">
        <v>161</v>
      </c>
      <c r="C52" s="715" t="str">
        <f>"0912-7LEK-F"&amp;A52&amp;"-"&amp;UPPER(LEFT(B52,1))</f>
        <v>0912-7LEK-F34-H</v>
      </c>
      <c r="D52" s="714"/>
      <c r="E52" s="712">
        <v>9</v>
      </c>
      <c r="F52" s="712"/>
      <c r="G52" s="711">
        <v>15</v>
      </c>
      <c r="H52" s="711">
        <v>10</v>
      </c>
      <c r="I52" s="711">
        <v>15</v>
      </c>
      <c r="J52" s="711">
        <v>10</v>
      </c>
      <c r="K52" s="711"/>
      <c r="L52" s="711"/>
      <c r="M52" s="711"/>
      <c r="N52" s="711"/>
      <c r="O52" s="711">
        <v>2</v>
      </c>
      <c r="P52" s="710"/>
      <c r="Q52" s="710"/>
      <c r="R52" s="710"/>
      <c r="S52" s="710"/>
      <c r="T52" s="710"/>
      <c r="U52" s="710"/>
      <c r="V52" s="710"/>
      <c r="W52" s="710"/>
      <c r="X52" s="710"/>
      <c r="Y52" s="709">
        <f>SUM(G52,I52,K52,M52,P52,R52,T52,V52)</f>
        <v>30</v>
      </c>
      <c r="Z52" s="709">
        <f>SUM(G52,P52)</f>
        <v>15</v>
      </c>
      <c r="AA52" s="709">
        <f>SUM(I52,R52)</f>
        <v>15</v>
      </c>
      <c r="AB52" s="709">
        <f>SUM(K52,T52)</f>
        <v>0</v>
      </c>
      <c r="AC52" s="709">
        <f>SUM(M52,V52)</f>
        <v>0</v>
      </c>
      <c r="AD52" s="709">
        <f>SUM(G52:M52,P52:W52,N52)</f>
        <v>50</v>
      </c>
      <c r="AE52" s="709">
        <f>SUM(O52,X52)</f>
        <v>2</v>
      </c>
    </row>
    <row r="53" spans="1:31" ht="29.25" customHeight="1">
      <c r="A53" s="716" t="s">
        <v>213</v>
      </c>
      <c r="B53" s="61" t="s">
        <v>162</v>
      </c>
      <c r="C53" s="715" t="str">
        <f>"0912-7LEK-F"&amp;A53&amp;"-"&amp;UPPER(LEFT(B53,1))</f>
        <v>0912-7LEK-F35-G</v>
      </c>
      <c r="D53" s="714"/>
      <c r="E53" s="712">
        <v>9</v>
      </c>
      <c r="F53" s="712"/>
      <c r="G53" s="711">
        <v>15</v>
      </c>
      <c r="H53" s="711">
        <v>10</v>
      </c>
      <c r="I53" s="711">
        <v>15</v>
      </c>
      <c r="J53" s="711">
        <v>10</v>
      </c>
      <c r="K53" s="711"/>
      <c r="L53" s="711"/>
      <c r="M53" s="711"/>
      <c r="N53" s="711"/>
      <c r="O53" s="711">
        <v>2</v>
      </c>
      <c r="P53" s="710"/>
      <c r="Q53" s="710"/>
      <c r="R53" s="710"/>
      <c r="S53" s="710"/>
      <c r="T53" s="710"/>
      <c r="U53" s="710"/>
      <c r="V53" s="710"/>
      <c r="W53" s="710"/>
      <c r="X53" s="710"/>
      <c r="Y53" s="709">
        <f>SUM(G53,I53,K53,M53,P53,R53,T53,V53)</f>
        <v>30</v>
      </c>
      <c r="Z53" s="709">
        <f>SUM(G53,P53)</f>
        <v>15</v>
      </c>
      <c r="AA53" s="709">
        <f>SUM(I53,R53)</f>
        <v>15</v>
      </c>
      <c r="AB53" s="709">
        <f>SUM(K53,T53)</f>
        <v>0</v>
      </c>
      <c r="AC53" s="709">
        <f>SUM(M53,V53)</f>
        <v>0</v>
      </c>
      <c r="AD53" s="709">
        <f>SUM(G53:M53,P53:W53,N53)</f>
        <v>50</v>
      </c>
      <c r="AE53" s="709">
        <f>SUM(O53,X53)</f>
        <v>2</v>
      </c>
    </row>
    <row r="54" spans="1:31" ht="29.25" customHeight="1">
      <c r="A54" s="716" t="s">
        <v>214</v>
      </c>
      <c r="B54" s="61" t="s">
        <v>173</v>
      </c>
      <c r="C54" s="715" t="str">
        <f>"0912-7LEK-F"&amp;A54&amp;"-"&amp;UPPER(LEFT(B54,1))</f>
        <v>0912-7LEK-F36-A</v>
      </c>
      <c r="D54" s="714"/>
      <c r="E54" s="712">
        <v>9</v>
      </c>
      <c r="F54" s="712"/>
      <c r="G54" s="711">
        <v>15</v>
      </c>
      <c r="H54" s="711">
        <v>10</v>
      </c>
      <c r="I54" s="711">
        <v>15</v>
      </c>
      <c r="J54" s="711">
        <v>10</v>
      </c>
      <c r="K54" s="711"/>
      <c r="L54" s="711"/>
      <c r="M54" s="711"/>
      <c r="N54" s="711"/>
      <c r="O54" s="711">
        <v>2</v>
      </c>
      <c r="P54" s="710"/>
      <c r="Q54" s="710"/>
      <c r="R54" s="710"/>
      <c r="S54" s="710"/>
      <c r="T54" s="710"/>
      <c r="U54" s="710"/>
      <c r="V54" s="710"/>
      <c r="W54" s="710"/>
      <c r="X54" s="710"/>
      <c r="Y54" s="709">
        <f>SUM(G54,I54,K54,M54,P54,R54,T54,V54)</f>
        <v>30</v>
      </c>
      <c r="Z54" s="709">
        <f>SUM(G54,P54)</f>
        <v>15</v>
      </c>
      <c r="AA54" s="709">
        <f>SUM(I54,R54)</f>
        <v>15</v>
      </c>
      <c r="AB54" s="709">
        <f>SUM(K54,T54)</f>
        <v>0</v>
      </c>
      <c r="AC54" s="709">
        <f>SUM(M54,V54)</f>
        <v>0</v>
      </c>
      <c r="AD54" s="709">
        <f>SUM(G54:M54,P54:W54,N54)</f>
        <v>50</v>
      </c>
      <c r="AE54" s="709">
        <f>SUM(O54,X54)</f>
        <v>2</v>
      </c>
    </row>
    <row r="55" spans="1:31" ht="29.25" customHeight="1">
      <c r="A55" s="716" t="s">
        <v>215</v>
      </c>
      <c r="B55" s="61" t="s">
        <v>180</v>
      </c>
      <c r="C55" s="715" t="str">
        <f>"0912-7LEK-F"&amp;A55&amp;"-"&amp;UPPER(LEFT(B55,1))</f>
        <v>0912-7LEK-F37-K</v>
      </c>
      <c r="D55" s="714"/>
      <c r="E55" s="712">
        <v>9</v>
      </c>
      <c r="F55" s="712"/>
      <c r="G55" s="711">
        <v>15</v>
      </c>
      <c r="H55" s="711">
        <v>10</v>
      </c>
      <c r="I55" s="711">
        <v>15</v>
      </c>
      <c r="J55" s="711">
        <v>10</v>
      </c>
      <c r="K55" s="711"/>
      <c r="L55" s="711"/>
      <c r="M55" s="711"/>
      <c r="N55" s="711"/>
      <c r="O55" s="711">
        <v>2</v>
      </c>
      <c r="P55" s="710"/>
      <c r="Q55" s="710"/>
      <c r="R55" s="710"/>
      <c r="S55" s="710"/>
      <c r="T55" s="710"/>
      <c r="U55" s="710"/>
      <c r="V55" s="710"/>
      <c r="W55" s="710"/>
      <c r="X55" s="710"/>
      <c r="Y55" s="709">
        <f>SUM(G55,I55,K55,M55,P55,R55,T55,V55)</f>
        <v>30</v>
      </c>
      <c r="Z55" s="709">
        <f>SUM(G55,P55)</f>
        <v>15</v>
      </c>
      <c r="AA55" s="709">
        <f>SUM(I55,R55)</f>
        <v>15</v>
      </c>
      <c r="AB55" s="709">
        <f>SUM(K55,T55)</f>
        <v>0</v>
      </c>
      <c r="AC55" s="709">
        <f>SUM(M55,V55)</f>
        <v>0</v>
      </c>
      <c r="AD55" s="709">
        <f>SUM(G55:M55,P55:W55,N55)</f>
        <v>50</v>
      </c>
      <c r="AE55" s="709">
        <f>SUM(O55,X55)</f>
        <v>2</v>
      </c>
    </row>
    <row r="56" spans="1:31" ht="29.25" customHeight="1">
      <c r="A56" s="716" t="s">
        <v>216</v>
      </c>
      <c r="B56" s="61" t="s">
        <v>177</v>
      </c>
      <c r="C56" s="715" t="str">
        <f>"0912-7LEK-F"&amp;A56&amp;"-"&amp;UPPER(LEFT(B56,1))</f>
        <v>0912-7LEK-F38-Ż</v>
      </c>
      <c r="D56" s="714"/>
      <c r="E56" s="712">
        <v>9</v>
      </c>
      <c r="F56" s="712"/>
      <c r="G56" s="711">
        <v>15</v>
      </c>
      <c r="H56" s="711">
        <v>10</v>
      </c>
      <c r="I56" s="711">
        <v>15</v>
      </c>
      <c r="J56" s="711">
        <v>10</v>
      </c>
      <c r="K56" s="711"/>
      <c r="L56" s="711"/>
      <c r="M56" s="711"/>
      <c r="N56" s="711"/>
      <c r="O56" s="711">
        <v>2</v>
      </c>
      <c r="P56" s="710"/>
      <c r="Q56" s="710"/>
      <c r="R56" s="710"/>
      <c r="S56" s="710"/>
      <c r="T56" s="710"/>
      <c r="U56" s="710"/>
      <c r="V56" s="710"/>
      <c r="W56" s="710"/>
      <c r="X56" s="710"/>
      <c r="Y56" s="709">
        <f>SUM(G56,I56,K56,M56,P56,R56,T56,V56)</f>
        <v>30</v>
      </c>
      <c r="Z56" s="709">
        <f>SUM(G56,P56)</f>
        <v>15</v>
      </c>
      <c r="AA56" s="709">
        <f>SUM(I56,R56)</f>
        <v>15</v>
      </c>
      <c r="AB56" s="709">
        <f>SUM(K56,T56)</f>
        <v>0</v>
      </c>
      <c r="AC56" s="709">
        <f>SUM(M56,V56)</f>
        <v>0</v>
      </c>
      <c r="AD56" s="709">
        <f>SUM(G56:M56,P56:W56,N56)</f>
        <v>50</v>
      </c>
      <c r="AE56" s="709">
        <f>SUM(O56,X56)</f>
        <v>2</v>
      </c>
    </row>
    <row r="57" spans="1:31" ht="29.25" customHeight="1">
      <c r="A57" s="716" t="s">
        <v>217</v>
      </c>
      <c r="B57" s="61" t="s">
        <v>174</v>
      </c>
      <c r="C57" s="715" t="str">
        <f>"0912-7LEK-F"&amp;A57&amp;"-"&amp;UPPER(LEFT(B57,1))</f>
        <v>0912-7LEK-F39-A</v>
      </c>
      <c r="D57" s="714"/>
      <c r="E57" s="712">
        <v>9</v>
      </c>
      <c r="F57" s="712"/>
      <c r="G57" s="711">
        <v>15</v>
      </c>
      <c r="H57" s="711">
        <v>10</v>
      </c>
      <c r="I57" s="711">
        <v>15</v>
      </c>
      <c r="J57" s="711">
        <v>10</v>
      </c>
      <c r="K57" s="711"/>
      <c r="L57" s="711"/>
      <c r="M57" s="711"/>
      <c r="N57" s="711"/>
      <c r="O57" s="711">
        <v>2</v>
      </c>
      <c r="P57" s="710"/>
      <c r="Q57" s="710"/>
      <c r="R57" s="710"/>
      <c r="S57" s="710"/>
      <c r="T57" s="710"/>
      <c r="U57" s="710"/>
      <c r="V57" s="710"/>
      <c r="W57" s="710"/>
      <c r="X57" s="710"/>
      <c r="Y57" s="709">
        <f>SUM(G57,I57,K57,M57,P57,R57,T57,V57)</f>
        <v>30</v>
      </c>
      <c r="Z57" s="709">
        <f>SUM(G57,P57)</f>
        <v>15</v>
      </c>
      <c r="AA57" s="709">
        <f>SUM(I57,R57)</f>
        <v>15</v>
      </c>
      <c r="AB57" s="709">
        <f>SUM(K57,T57)</f>
        <v>0</v>
      </c>
      <c r="AC57" s="709">
        <f>SUM(M57,V57)</f>
        <v>0</v>
      </c>
      <c r="AD57" s="709">
        <f>SUM(G57:M57,P57:W57,N57)</f>
        <v>50</v>
      </c>
      <c r="AE57" s="709">
        <f>SUM(O57,X57)</f>
        <v>2</v>
      </c>
    </row>
    <row r="58" spans="1:31" ht="29.25" customHeight="1">
      <c r="A58" s="716" t="s">
        <v>218</v>
      </c>
      <c r="B58" s="61" t="s">
        <v>345</v>
      </c>
      <c r="C58" s="715" t="str">
        <f>"0912-7LEK-F"&amp;A58&amp;"-"&amp;UPPER(LEFT(B58,1))</f>
        <v>0912-7LEK-F40-L</v>
      </c>
      <c r="D58" s="714"/>
      <c r="E58" s="712">
        <v>9</v>
      </c>
      <c r="F58" s="712"/>
      <c r="G58" s="711">
        <v>15</v>
      </c>
      <c r="H58" s="711">
        <v>10</v>
      </c>
      <c r="I58" s="711">
        <v>15</v>
      </c>
      <c r="J58" s="711">
        <v>10</v>
      </c>
      <c r="K58" s="711"/>
      <c r="L58" s="711"/>
      <c r="M58" s="711"/>
      <c r="N58" s="711"/>
      <c r="O58" s="711">
        <v>2</v>
      </c>
      <c r="P58" s="710"/>
      <c r="Q58" s="710"/>
      <c r="R58" s="710"/>
      <c r="S58" s="710"/>
      <c r="T58" s="710"/>
      <c r="U58" s="710"/>
      <c r="V58" s="710"/>
      <c r="W58" s="710"/>
      <c r="X58" s="710"/>
      <c r="Y58" s="709">
        <f>SUM(G58,I58,K58,M58,P58,R58,T58,V58)</f>
        <v>30</v>
      </c>
      <c r="Z58" s="709">
        <f>SUM(G58,P58)</f>
        <v>15</v>
      </c>
      <c r="AA58" s="709">
        <f>SUM(I58,R58)</f>
        <v>15</v>
      </c>
      <c r="AB58" s="709">
        <f>SUM(K58,T58)</f>
        <v>0</v>
      </c>
      <c r="AC58" s="709">
        <f>SUM(M58,V58)</f>
        <v>0</v>
      </c>
      <c r="AD58" s="709">
        <f>SUM(G58:M58,P58:W58,N58)</f>
        <v>50</v>
      </c>
      <c r="AE58" s="709">
        <f>SUM(O58,X58)</f>
        <v>2</v>
      </c>
    </row>
    <row r="59" spans="1:31" ht="29.25" customHeight="1">
      <c r="A59" s="716" t="s">
        <v>219</v>
      </c>
      <c r="B59" s="61" t="s">
        <v>176</v>
      </c>
      <c r="C59" s="715" t="str">
        <f>"0912-7LEK-F"&amp;A59&amp;"-"&amp;UPPER(LEFT(B59,1))</f>
        <v>0912-7LEK-F41-E</v>
      </c>
      <c r="D59" s="714"/>
      <c r="E59" s="712">
        <v>9</v>
      </c>
      <c r="F59" s="712"/>
      <c r="G59" s="711">
        <v>15</v>
      </c>
      <c r="H59" s="711">
        <v>10</v>
      </c>
      <c r="I59" s="711">
        <v>15</v>
      </c>
      <c r="J59" s="711">
        <v>10</v>
      </c>
      <c r="K59" s="711"/>
      <c r="L59" s="711"/>
      <c r="M59" s="711"/>
      <c r="N59" s="711"/>
      <c r="O59" s="711">
        <v>2</v>
      </c>
      <c r="P59" s="710"/>
      <c r="Q59" s="710"/>
      <c r="R59" s="710"/>
      <c r="S59" s="710"/>
      <c r="T59" s="710"/>
      <c r="U59" s="710"/>
      <c r="V59" s="710"/>
      <c r="W59" s="710"/>
      <c r="X59" s="710"/>
      <c r="Y59" s="709">
        <f>SUM(G59,I59,K59,M59,P59,R59,T59,V59)</f>
        <v>30</v>
      </c>
      <c r="Z59" s="709">
        <f>SUM(G59,P59)</f>
        <v>15</v>
      </c>
      <c r="AA59" s="709">
        <f>SUM(I59,R59)</f>
        <v>15</v>
      </c>
      <c r="AB59" s="709">
        <f>SUM(K59,T59)</f>
        <v>0</v>
      </c>
      <c r="AC59" s="709">
        <f>SUM(M59,V59)</f>
        <v>0</v>
      </c>
      <c r="AD59" s="709">
        <f>SUM(G59:M59,P59:W59,N59)</f>
        <v>50</v>
      </c>
      <c r="AE59" s="709">
        <f>SUM(O59,X59)</f>
        <v>2</v>
      </c>
    </row>
    <row r="60" spans="1:31" ht="29.25" customHeight="1">
      <c r="A60" s="716" t="s">
        <v>220</v>
      </c>
      <c r="B60" s="61" t="s">
        <v>163</v>
      </c>
      <c r="C60" s="715" t="str">
        <f>"0912-7LEK-F"&amp;A60&amp;"-"&amp;UPPER(LEFT(B60,1))</f>
        <v>0912-7LEK-F42-T</v>
      </c>
      <c r="D60" s="714"/>
      <c r="E60" s="712">
        <v>9</v>
      </c>
      <c r="F60" s="712"/>
      <c r="G60" s="711">
        <v>15</v>
      </c>
      <c r="H60" s="711">
        <v>10</v>
      </c>
      <c r="I60" s="711">
        <v>15</v>
      </c>
      <c r="J60" s="711">
        <v>10</v>
      </c>
      <c r="K60" s="711"/>
      <c r="L60" s="711"/>
      <c r="M60" s="711"/>
      <c r="N60" s="711"/>
      <c r="O60" s="711">
        <v>2</v>
      </c>
      <c r="P60" s="710"/>
      <c r="Q60" s="710"/>
      <c r="R60" s="710"/>
      <c r="S60" s="710"/>
      <c r="T60" s="710"/>
      <c r="U60" s="710"/>
      <c r="V60" s="710"/>
      <c r="W60" s="710"/>
      <c r="X60" s="710"/>
      <c r="Y60" s="709">
        <f>SUM(G60,I60,K60,M60,P60,R60,T60,V60)</f>
        <v>30</v>
      </c>
      <c r="Z60" s="709">
        <f>SUM(G60,P60)</f>
        <v>15</v>
      </c>
      <c r="AA60" s="709">
        <f>SUM(I60,R60)</f>
        <v>15</v>
      </c>
      <c r="AB60" s="709">
        <f>SUM(K60,T60)</f>
        <v>0</v>
      </c>
      <c r="AC60" s="709">
        <f>SUM(M60,V60)</f>
        <v>0</v>
      </c>
      <c r="AD60" s="709">
        <f>SUM(G60:M60,P60:W60,N60)</f>
        <v>50</v>
      </c>
      <c r="AE60" s="709">
        <f>SUM(O60,X60)</f>
        <v>2</v>
      </c>
    </row>
    <row r="61" spans="1:31" ht="29.25" customHeight="1">
      <c r="A61" s="716" t="s">
        <v>221</v>
      </c>
      <c r="B61" s="61" t="s">
        <v>164</v>
      </c>
      <c r="C61" s="715" t="str">
        <f>"0912-7LEK-F"&amp;A61&amp;"-"&amp;UPPER(LEFT(B61,1))</f>
        <v>0912-7LEK-F43-D</v>
      </c>
      <c r="D61" s="714"/>
      <c r="E61" s="712">
        <v>9</v>
      </c>
      <c r="F61" s="712"/>
      <c r="G61" s="711">
        <v>15</v>
      </c>
      <c r="H61" s="711">
        <v>10</v>
      </c>
      <c r="I61" s="711">
        <v>15</v>
      </c>
      <c r="J61" s="711">
        <v>10</v>
      </c>
      <c r="K61" s="711"/>
      <c r="L61" s="711"/>
      <c r="M61" s="711"/>
      <c r="N61" s="711"/>
      <c r="O61" s="711">
        <v>2</v>
      </c>
      <c r="P61" s="710"/>
      <c r="Q61" s="710"/>
      <c r="R61" s="710"/>
      <c r="S61" s="710"/>
      <c r="T61" s="710"/>
      <c r="U61" s="710"/>
      <c r="V61" s="710"/>
      <c r="W61" s="710"/>
      <c r="X61" s="710"/>
      <c r="Y61" s="709">
        <f>SUM(G61,I61,K61,M61,P61,R61,T61,V61)</f>
        <v>30</v>
      </c>
      <c r="Z61" s="709">
        <f>SUM(G61,P61)</f>
        <v>15</v>
      </c>
      <c r="AA61" s="709">
        <f>SUM(I61,R61)</f>
        <v>15</v>
      </c>
      <c r="AB61" s="709">
        <f>SUM(K61,T61)</f>
        <v>0</v>
      </c>
      <c r="AC61" s="709">
        <f>SUM(M61,V61)</f>
        <v>0</v>
      </c>
      <c r="AD61" s="709">
        <f>SUM(G61:M61,P61:W61,N61)</f>
        <v>50</v>
      </c>
      <c r="AE61" s="709">
        <f>SUM(O61,X61)</f>
        <v>2</v>
      </c>
    </row>
    <row r="62" spans="1:31" ht="29.25" customHeight="1">
      <c r="A62" s="716" t="s">
        <v>222</v>
      </c>
      <c r="B62" s="61" t="s">
        <v>165</v>
      </c>
      <c r="C62" s="715" t="str">
        <f>"0912-7LEK-F"&amp;A62&amp;"-"&amp;UPPER(LEFT(B62,1))</f>
        <v>0912-7LEK-F44-R</v>
      </c>
      <c r="D62" s="714"/>
      <c r="E62" s="712">
        <v>9</v>
      </c>
      <c r="F62" s="712"/>
      <c r="G62" s="711">
        <v>15</v>
      </c>
      <c r="H62" s="711">
        <v>10</v>
      </c>
      <c r="I62" s="711">
        <v>15</v>
      </c>
      <c r="J62" s="711">
        <v>10</v>
      </c>
      <c r="K62" s="711"/>
      <c r="L62" s="711"/>
      <c r="M62" s="711"/>
      <c r="N62" s="711"/>
      <c r="O62" s="711">
        <v>2</v>
      </c>
      <c r="P62" s="710"/>
      <c r="Q62" s="710"/>
      <c r="R62" s="710"/>
      <c r="S62" s="710"/>
      <c r="T62" s="710"/>
      <c r="U62" s="710"/>
      <c r="V62" s="710"/>
      <c r="W62" s="710"/>
      <c r="X62" s="710"/>
      <c r="Y62" s="709">
        <f>SUM(G62,I62,K62,M62,P62,R62,T62,V62)</f>
        <v>30</v>
      </c>
      <c r="Z62" s="709">
        <f>SUM(G62,P62)</f>
        <v>15</v>
      </c>
      <c r="AA62" s="709">
        <f>SUM(I62,R62)</f>
        <v>15</v>
      </c>
      <c r="AB62" s="709">
        <f>SUM(K62,T62)</f>
        <v>0</v>
      </c>
      <c r="AC62" s="709">
        <f>SUM(M62,V62)</f>
        <v>0</v>
      </c>
      <c r="AD62" s="709">
        <f>SUM(G62:M62,P62:W62,N62)</f>
        <v>50</v>
      </c>
      <c r="AE62" s="709">
        <f>SUM(O62,X62)</f>
        <v>2</v>
      </c>
    </row>
    <row r="63" spans="1:31" ht="32.25" customHeight="1">
      <c r="A63" s="716" t="s">
        <v>223</v>
      </c>
      <c r="B63" s="61" t="s">
        <v>166</v>
      </c>
      <c r="C63" s="715" t="str">
        <f>"0912-7LEK-F"&amp;A63&amp;"-"&amp;UPPER(LEFT(B63,1))</f>
        <v>0912-7LEK-F45-Z</v>
      </c>
      <c r="D63" s="714"/>
      <c r="E63" s="712">
        <v>9</v>
      </c>
      <c r="F63" s="712"/>
      <c r="G63" s="711">
        <v>15</v>
      </c>
      <c r="H63" s="711">
        <v>10</v>
      </c>
      <c r="I63" s="711">
        <v>15</v>
      </c>
      <c r="J63" s="711">
        <v>10</v>
      </c>
      <c r="K63" s="711"/>
      <c r="L63" s="711"/>
      <c r="M63" s="711"/>
      <c r="N63" s="711"/>
      <c r="O63" s="711">
        <v>2</v>
      </c>
      <c r="P63" s="710"/>
      <c r="Q63" s="710"/>
      <c r="R63" s="710"/>
      <c r="S63" s="710"/>
      <c r="T63" s="710"/>
      <c r="U63" s="710"/>
      <c r="V63" s="710"/>
      <c r="W63" s="710"/>
      <c r="X63" s="710"/>
      <c r="Y63" s="709">
        <f>SUM(G63,I63,K63,M63,P63,R63,T63,V63)</f>
        <v>30</v>
      </c>
      <c r="Z63" s="709">
        <f>SUM(G63,P63)</f>
        <v>15</v>
      </c>
      <c r="AA63" s="709">
        <f>SUM(I63,R63)</f>
        <v>15</v>
      </c>
      <c r="AB63" s="709">
        <f>SUM(K63,T63)</f>
        <v>0</v>
      </c>
      <c r="AC63" s="709">
        <f>SUM(M63,V63)</f>
        <v>0</v>
      </c>
      <c r="AD63" s="709">
        <f>SUM(G63:M63,P63:W63,N63)</f>
        <v>50</v>
      </c>
      <c r="AE63" s="709">
        <f>SUM(O63,X63)</f>
        <v>2</v>
      </c>
    </row>
    <row r="64" spans="1:31" ht="29.25" customHeight="1">
      <c r="A64" s="716" t="s">
        <v>224</v>
      </c>
      <c r="B64" s="61" t="s">
        <v>169</v>
      </c>
      <c r="C64" s="715" t="str">
        <f>"0912-7LEK-F"&amp;A64&amp;"-"&amp;UPPER(LEFT(B64,1))</f>
        <v>0912-7LEK-F46-C</v>
      </c>
      <c r="D64" s="714"/>
      <c r="E64" s="712">
        <v>9</v>
      </c>
      <c r="F64" s="712"/>
      <c r="G64" s="711">
        <v>15</v>
      </c>
      <c r="H64" s="711">
        <v>10</v>
      </c>
      <c r="I64" s="711">
        <v>15</v>
      </c>
      <c r="J64" s="711">
        <v>10</v>
      </c>
      <c r="K64" s="711"/>
      <c r="L64" s="711"/>
      <c r="M64" s="711"/>
      <c r="N64" s="711"/>
      <c r="O64" s="711">
        <v>2</v>
      </c>
      <c r="P64" s="710"/>
      <c r="Q64" s="710"/>
      <c r="R64" s="710"/>
      <c r="S64" s="710"/>
      <c r="T64" s="710"/>
      <c r="U64" s="710"/>
      <c r="V64" s="710"/>
      <c r="W64" s="710"/>
      <c r="X64" s="710"/>
      <c r="Y64" s="709">
        <f>SUM(G64,I64,K64,M64,P64,R64,T64,V64)</f>
        <v>30</v>
      </c>
      <c r="Z64" s="709">
        <f>SUM(G64,P64)</f>
        <v>15</v>
      </c>
      <c r="AA64" s="709">
        <f>SUM(I64,R64)</f>
        <v>15</v>
      </c>
      <c r="AB64" s="709">
        <f>SUM(K64,T64)</f>
        <v>0</v>
      </c>
      <c r="AC64" s="709">
        <f>SUM(M64,V64)</f>
        <v>0</v>
      </c>
      <c r="AD64" s="709">
        <f>SUM(G64:M64,P64:W64,N64)</f>
        <v>50</v>
      </c>
      <c r="AE64" s="709">
        <f>SUM(O64,X64)</f>
        <v>2</v>
      </c>
    </row>
    <row r="65" spans="1:31" ht="29.25" customHeight="1">
      <c r="A65" s="716" t="s">
        <v>225</v>
      </c>
      <c r="B65" s="61" t="s">
        <v>168</v>
      </c>
      <c r="C65" s="715" t="str">
        <f>"0912-7LEK-F"&amp;A65&amp;"-"&amp;UPPER(LEFT(B65,1))</f>
        <v>0912-7LEK-F47-P</v>
      </c>
      <c r="D65" s="714"/>
      <c r="E65" s="712">
        <v>9</v>
      </c>
      <c r="F65" s="712"/>
      <c r="G65" s="711"/>
      <c r="H65" s="711"/>
      <c r="I65" s="711">
        <v>15</v>
      </c>
      <c r="J65" s="711">
        <v>10</v>
      </c>
      <c r="K65" s="711"/>
      <c r="L65" s="711"/>
      <c r="M65" s="711"/>
      <c r="N65" s="711"/>
      <c r="O65" s="711">
        <v>1</v>
      </c>
      <c r="P65" s="710"/>
      <c r="Q65" s="710"/>
      <c r="R65" s="710"/>
      <c r="S65" s="710"/>
      <c r="T65" s="710"/>
      <c r="U65" s="710"/>
      <c r="V65" s="710"/>
      <c r="W65" s="710"/>
      <c r="X65" s="710"/>
      <c r="Y65" s="709">
        <f>SUM(G65,I65,K65,M65,P65,R65,T65,V65)</f>
        <v>15</v>
      </c>
      <c r="Z65" s="709">
        <f>SUM(G65,P65)</f>
        <v>0</v>
      </c>
      <c r="AA65" s="709">
        <f>SUM(I65,R65)</f>
        <v>15</v>
      </c>
      <c r="AB65" s="709">
        <f>SUM(K65,T65)</f>
        <v>0</v>
      </c>
      <c r="AC65" s="709">
        <f>SUM(M65,V65)</f>
        <v>0</v>
      </c>
      <c r="AD65" s="709">
        <f>SUM(G65:M65,P65:W65,N65)</f>
        <v>25</v>
      </c>
      <c r="AE65" s="709">
        <f>SUM(O65,X65)</f>
        <v>1</v>
      </c>
    </row>
    <row r="66" spans="1:31" ht="29.25" customHeight="1">
      <c r="A66" s="716" t="s">
        <v>226</v>
      </c>
      <c r="B66" s="61" t="s">
        <v>267</v>
      </c>
      <c r="C66" s="715" t="str">
        <f>"0912-7LEK-F"&amp;A66&amp;"-"&amp;UPPER(LEFT(B66,1))</f>
        <v>0912-7LEK-F48-B</v>
      </c>
      <c r="D66" s="714"/>
      <c r="E66" s="712">
        <v>10</v>
      </c>
      <c r="F66" s="712"/>
      <c r="G66" s="711"/>
      <c r="H66" s="711"/>
      <c r="I66" s="711"/>
      <c r="J66" s="711"/>
      <c r="K66" s="711"/>
      <c r="L66" s="711"/>
      <c r="M66" s="711"/>
      <c r="N66" s="711"/>
      <c r="O66" s="711"/>
      <c r="P66" s="710">
        <v>15</v>
      </c>
      <c r="Q66" s="710">
        <v>10</v>
      </c>
      <c r="R66" s="710"/>
      <c r="S66" s="710"/>
      <c r="T66" s="710"/>
      <c r="U66" s="710"/>
      <c r="V66" s="710"/>
      <c r="W66" s="710"/>
      <c r="X66" s="710">
        <v>1</v>
      </c>
      <c r="Y66" s="709">
        <f>SUM(G66,I66,K66,M66,P66,R66,T66,V66)</f>
        <v>15</v>
      </c>
      <c r="Z66" s="709">
        <f>SUM(G66,P66)</f>
        <v>15</v>
      </c>
      <c r="AA66" s="709">
        <f>SUM(I66,R66)</f>
        <v>0</v>
      </c>
      <c r="AB66" s="709">
        <f>SUM(K66,T66)</f>
        <v>0</v>
      </c>
      <c r="AC66" s="709">
        <f>SUM(M66,V66)</f>
        <v>0</v>
      </c>
      <c r="AD66" s="709">
        <f>SUM(G66:M66,P66:W66,N66)</f>
        <v>25</v>
      </c>
      <c r="AE66" s="709">
        <f>SUM(O66,X66)</f>
        <v>1</v>
      </c>
    </row>
    <row r="67" spans="1:31" ht="29.25" customHeight="1">
      <c r="A67" s="716" t="s">
        <v>227</v>
      </c>
      <c r="B67" s="61" t="s">
        <v>167</v>
      </c>
      <c r="C67" s="715" t="str">
        <f>"0912-7LEK-F"&amp;A67&amp;"-"&amp;UPPER(LEFT(B67,1))</f>
        <v>0912-7LEK-F49-M</v>
      </c>
      <c r="D67" s="714"/>
      <c r="E67" s="712">
        <v>9</v>
      </c>
      <c r="F67" s="712"/>
      <c r="G67" s="711"/>
      <c r="H67" s="711"/>
      <c r="I67" s="711">
        <v>15</v>
      </c>
      <c r="J67" s="711">
        <v>10</v>
      </c>
      <c r="K67" s="711"/>
      <c r="L67" s="711"/>
      <c r="M67" s="711"/>
      <c r="N67" s="711"/>
      <c r="O67" s="711">
        <v>1</v>
      </c>
      <c r="P67" s="710"/>
      <c r="Q67" s="710"/>
      <c r="R67" s="710"/>
      <c r="S67" s="710"/>
      <c r="T67" s="710"/>
      <c r="U67" s="710"/>
      <c r="V67" s="710"/>
      <c r="W67" s="710"/>
      <c r="X67" s="710"/>
      <c r="Y67" s="709">
        <f>SUM(G67,I67,K67,M67,P67,R67,T67,V67)</f>
        <v>15</v>
      </c>
      <c r="Z67" s="709">
        <f>SUM(G67,P67)</f>
        <v>0</v>
      </c>
      <c r="AA67" s="709">
        <f>SUM(I67,R67)</f>
        <v>15</v>
      </c>
      <c r="AB67" s="709">
        <f>SUM(K67,T67)</f>
        <v>0</v>
      </c>
      <c r="AC67" s="709">
        <f>SUM(M67,V67)</f>
        <v>0</v>
      </c>
      <c r="AD67" s="709">
        <f>SUM(G67:M67,P67:W67,N67)</f>
        <v>25</v>
      </c>
      <c r="AE67" s="709">
        <f>SUM(O67,X67)</f>
        <v>1</v>
      </c>
    </row>
    <row r="68" spans="1:31" s="718" customFormat="1" ht="29.25" customHeight="1">
      <c r="A68" s="716" t="s">
        <v>228</v>
      </c>
      <c r="B68" s="61" t="s">
        <v>170</v>
      </c>
      <c r="C68" s="715" t="str">
        <f>"0912-7LEK-F"&amp;A68&amp;"-"&amp;UPPER(LEFT(B68,1))</f>
        <v>0912-7LEK-F50-C</v>
      </c>
      <c r="D68" s="714"/>
      <c r="E68" s="712">
        <v>9</v>
      </c>
      <c r="F68" s="712"/>
      <c r="G68" s="711"/>
      <c r="H68" s="711"/>
      <c r="I68" s="711">
        <v>15</v>
      </c>
      <c r="J68" s="711">
        <v>10</v>
      </c>
      <c r="K68" s="711"/>
      <c r="L68" s="711"/>
      <c r="M68" s="711"/>
      <c r="N68" s="711"/>
      <c r="O68" s="711">
        <v>1</v>
      </c>
      <c r="P68" s="710"/>
      <c r="Q68" s="710"/>
      <c r="R68" s="710"/>
      <c r="S68" s="710"/>
      <c r="T68" s="710"/>
      <c r="U68" s="710"/>
      <c r="V68" s="710"/>
      <c r="W68" s="710"/>
      <c r="X68" s="710"/>
      <c r="Y68" s="709">
        <f>SUM(G68,I68,K68,M68,P68,R68,T68,V68)</f>
        <v>15</v>
      </c>
      <c r="Z68" s="709">
        <f>SUM(G68,P68)</f>
        <v>0</v>
      </c>
      <c r="AA68" s="709">
        <f>SUM(I68,R68)</f>
        <v>15</v>
      </c>
      <c r="AB68" s="709">
        <v>0</v>
      </c>
      <c r="AC68" s="709">
        <v>0</v>
      </c>
      <c r="AD68" s="709">
        <f>SUM(G68:M68,P68:W68,N68)</f>
        <v>25</v>
      </c>
      <c r="AE68" s="709">
        <f>SUM(O68,X68)</f>
        <v>1</v>
      </c>
    </row>
    <row r="69" spans="1:31" ht="29.25" customHeight="1">
      <c r="A69" s="716" t="s">
        <v>229</v>
      </c>
      <c r="B69" s="61" t="s">
        <v>172</v>
      </c>
      <c r="C69" s="715" t="str">
        <f>"0912-7LEK-F"&amp;A69&amp;"-"&amp;UPPER(LEFT(B69,1))</f>
        <v>0912-7LEK-F51-F</v>
      </c>
      <c r="D69" s="714"/>
      <c r="E69" s="712">
        <v>10</v>
      </c>
      <c r="F69" s="712"/>
      <c r="G69" s="711"/>
      <c r="H69" s="711"/>
      <c r="I69" s="711"/>
      <c r="J69" s="711"/>
      <c r="K69" s="711"/>
      <c r="L69" s="711"/>
      <c r="M69" s="711"/>
      <c r="N69" s="711"/>
      <c r="O69" s="711"/>
      <c r="P69" s="710">
        <v>15</v>
      </c>
      <c r="Q69" s="710">
        <v>10</v>
      </c>
      <c r="R69" s="710"/>
      <c r="S69" s="710"/>
      <c r="T69" s="710"/>
      <c r="U69" s="710"/>
      <c r="V69" s="710"/>
      <c r="W69" s="710"/>
      <c r="X69" s="710">
        <v>1</v>
      </c>
      <c r="Y69" s="709">
        <f>SUM(G69,I69,K69,M69,P69,R69,T69,V69)</f>
        <v>15</v>
      </c>
      <c r="Z69" s="709">
        <f>SUM(G69,P69)</f>
        <v>15</v>
      </c>
      <c r="AA69" s="709">
        <f>SUM(I69,R69)</f>
        <v>0</v>
      </c>
      <c r="AB69" s="709">
        <f>SUM(K69,T69)</f>
        <v>0</v>
      </c>
      <c r="AC69" s="709">
        <f>SUM(M69,V69)</f>
        <v>0</v>
      </c>
      <c r="AD69" s="709">
        <f>SUM(G69:M69,P69:W69,N69)</f>
        <v>25</v>
      </c>
      <c r="AE69" s="709">
        <f>SUM(O69,X69)</f>
        <v>1</v>
      </c>
    </row>
    <row r="70" spans="1:31" ht="29.25" customHeight="1">
      <c r="A70" s="716" t="s">
        <v>230</v>
      </c>
      <c r="B70" s="61" t="s">
        <v>183</v>
      </c>
      <c r="C70" s="715" t="str">
        <f>"0912-7LEK-F"&amp;A70&amp;"-"&amp;UPPER(LEFT(B70,1))</f>
        <v>0912-7LEK-F52-P</v>
      </c>
      <c r="D70" s="714"/>
      <c r="E70" s="712">
        <v>9</v>
      </c>
      <c r="F70" s="712"/>
      <c r="G70" s="711"/>
      <c r="H70" s="711"/>
      <c r="I70" s="711">
        <v>15</v>
      </c>
      <c r="J70" s="711">
        <v>10</v>
      </c>
      <c r="K70" s="711"/>
      <c r="L70" s="711"/>
      <c r="M70" s="711"/>
      <c r="N70" s="711"/>
      <c r="O70" s="711">
        <v>1</v>
      </c>
      <c r="P70" s="710"/>
      <c r="Q70" s="710"/>
      <c r="R70" s="710"/>
      <c r="S70" s="710"/>
      <c r="T70" s="710"/>
      <c r="U70" s="710"/>
      <c r="V70" s="710"/>
      <c r="W70" s="710"/>
      <c r="X70" s="710"/>
      <c r="Y70" s="709">
        <f>SUM(G70,I70,K70,M70,P70,R70,T70,V70)</f>
        <v>15</v>
      </c>
      <c r="Z70" s="709">
        <f>SUM(G70,P70)</f>
        <v>0</v>
      </c>
      <c r="AA70" s="709">
        <f>SUM(I70,R70)</f>
        <v>15</v>
      </c>
      <c r="AB70" s="709">
        <f>SUM(K70,T70)</f>
        <v>0</v>
      </c>
      <c r="AC70" s="709">
        <f>SUM(M70,V70)</f>
        <v>0</v>
      </c>
      <c r="AD70" s="709">
        <f>SUM(G70:M70,P70:W70,N70)</f>
        <v>25</v>
      </c>
      <c r="AE70" s="709">
        <f>SUM(O70,X70)</f>
        <v>1</v>
      </c>
    </row>
    <row r="71" spans="1:31" ht="29.25" customHeight="1">
      <c r="A71" s="716" t="s">
        <v>231</v>
      </c>
      <c r="B71" s="61" t="s">
        <v>171</v>
      </c>
      <c r="C71" s="715" t="str">
        <f>"0912-7LEK-F"&amp;A71&amp;"-"&amp;UPPER(LEFT(B71,1))</f>
        <v>0912-7LEK-F53-R</v>
      </c>
      <c r="D71" s="714"/>
      <c r="E71" s="712">
        <v>9</v>
      </c>
      <c r="F71" s="712"/>
      <c r="G71" s="711"/>
      <c r="H71" s="711"/>
      <c r="I71" s="711">
        <v>15</v>
      </c>
      <c r="J71" s="711">
        <v>10</v>
      </c>
      <c r="K71" s="711"/>
      <c r="L71" s="711"/>
      <c r="M71" s="711"/>
      <c r="N71" s="711"/>
      <c r="O71" s="711">
        <v>1</v>
      </c>
      <c r="P71" s="710"/>
      <c r="Q71" s="710"/>
      <c r="R71" s="710"/>
      <c r="S71" s="710"/>
      <c r="T71" s="710"/>
      <c r="U71" s="710"/>
      <c r="V71" s="710"/>
      <c r="W71" s="710"/>
      <c r="X71" s="710"/>
      <c r="Y71" s="709">
        <f>SUM(G71,I71,K71,M71,P71,R71,T71,V71)</f>
        <v>15</v>
      </c>
      <c r="Z71" s="709">
        <f>SUM(G71,P71)</f>
        <v>0</v>
      </c>
      <c r="AA71" s="709">
        <f>SUM(I71,R71)</f>
        <v>15</v>
      </c>
      <c r="AB71" s="709">
        <f>SUM(K71,T71)</f>
        <v>0</v>
      </c>
      <c r="AC71" s="709">
        <f>SUM(M71,V71)</f>
        <v>0</v>
      </c>
      <c r="AD71" s="709">
        <f>SUM(G71:M71,P71:W71,N71)</f>
        <v>25</v>
      </c>
      <c r="AE71" s="709">
        <f>SUM(O71,X71)</f>
        <v>1</v>
      </c>
    </row>
    <row r="72" spans="1:31" ht="29.25" customHeight="1">
      <c r="A72" s="717" t="s">
        <v>316</v>
      </c>
      <c r="B72" s="61" t="s">
        <v>317</v>
      </c>
      <c r="C72" s="715" t="s">
        <v>318</v>
      </c>
      <c r="D72" s="714"/>
      <c r="E72" s="712">
        <v>10</v>
      </c>
      <c r="F72" s="712"/>
      <c r="G72" s="711"/>
      <c r="H72" s="711"/>
      <c r="I72" s="711"/>
      <c r="J72" s="711"/>
      <c r="K72" s="711"/>
      <c r="L72" s="711"/>
      <c r="M72" s="711"/>
      <c r="N72" s="711"/>
      <c r="O72" s="711"/>
      <c r="P72" s="710">
        <v>15</v>
      </c>
      <c r="Q72" s="710">
        <v>10</v>
      </c>
      <c r="R72" s="710"/>
      <c r="S72" s="710"/>
      <c r="T72" s="710"/>
      <c r="U72" s="710"/>
      <c r="V72" s="710"/>
      <c r="W72" s="710"/>
      <c r="X72" s="710">
        <v>1</v>
      </c>
      <c r="Y72" s="709">
        <f>SUM(Z72:AC72)</f>
        <v>15</v>
      </c>
      <c r="Z72" s="709">
        <f>G72+P72</f>
        <v>15</v>
      </c>
      <c r="AA72" s="709">
        <f>I72+R72</f>
        <v>0</v>
      </c>
      <c r="AB72" s="709">
        <f>K72+T72</f>
        <v>0</v>
      </c>
      <c r="AC72" s="709">
        <f>M72+V72</f>
        <v>0</v>
      </c>
      <c r="AD72" s="709">
        <f>SUM(G72:N72,P72:W72)</f>
        <v>25</v>
      </c>
      <c r="AE72" s="709">
        <f>O72+X72</f>
        <v>1</v>
      </c>
    </row>
    <row r="73" spans="1:31" ht="36" customHeight="1">
      <c r="A73" s="717" t="s">
        <v>365</v>
      </c>
      <c r="B73" s="61" t="s">
        <v>307</v>
      </c>
      <c r="C73" s="715" t="str">
        <f>"0912-7LEK-F"&amp;A73&amp;"-"&amp;UPPER(LEFT(B73,1))</f>
        <v>0912-7LEK-F55-Z</v>
      </c>
      <c r="D73" s="714"/>
      <c r="E73" s="713" t="s">
        <v>243</v>
      </c>
      <c r="F73" s="712"/>
      <c r="G73" s="711"/>
      <c r="H73" s="711"/>
      <c r="I73" s="711">
        <v>30</v>
      </c>
      <c r="J73" s="711">
        <v>20</v>
      </c>
      <c r="K73" s="711"/>
      <c r="L73" s="711"/>
      <c r="M73" s="711"/>
      <c r="N73" s="711"/>
      <c r="O73" s="711">
        <v>2</v>
      </c>
      <c r="P73" s="710"/>
      <c r="Q73" s="710"/>
      <c r="R73" s="710">
        <v>30</v>
      </c>
      <c r="S73" s="710">
        <v>20</v>
      </c>
      <c r="T73" s="710"/>
      <c r="U73" s="710"/>
      <c r="V73" s="710"/>
      <c r="W73" s="710"/>
      <c r="X73" s="710">
        <v>2</v>
      </c>
      <c r="Y73" s="709">
        <f>SUM(G73,I73,K73,M73,P73,R73,T73,V73)</f>
        <v>60</v>
      </c>
      <c r="Z73" s="709">
        <f>SUM(G73,P73)</f>
        <v>0</v>
      </c>
      <c r="AA73" s="709">
        <f>SUM(I73,R73)</f>
        <v>60</v>
      </c>
      <c r="AB73" s="709">
        <f>SUM(K73,T73)</f>
        <v>0</v>
      </c>
      <c r="AC73" s="709">
        <f>SUM(M73,V73)</f>
        <v>0</v>
      </c>
      <c r="AD73" s="709">
        <f>SUM(G73:M73,P73:W73,N73)</f>
        <v>100</v>
      </c>
      <c r="AE73" s="709">
        <f>SUM(O73,X73)</f>
        <v>4</v>
      </c>
    </row>
    <row r="74" spans="1:31" ht="51" customHeight="1">
      <c r="A74" s="716" t="s">
        <v>404</v>
      </c>
      <c r="B74" s="61" t="s">
        <v>431</v>
      </c>
      <c r="C74" s="715" t="str">
        <f>"0912-7LEK-F"&amp;A74&amp;"-"&amp;UPPER(LEFT(B74,1))</f>
        <v>0912-7LEK-F56.-R</v>
      </c>
      <c r="D74" s="714"/>
      <c r="E74" s="713" t="s">
        <v>126</v>
      </c>
      <c r="F74" s="712"/>
      <c r="G74" s="711">
        <v>15</v>
      </c>
      <c r="H74" s="711">
        <v>10</v>
      </c>
      <c r="I74" s="711">
        <v>15</v>
      </c>
      <c r="J74" s="711">
        <v>10</v>
      </c>
      <c r="K74" s="711"/>
      <c r="L74" s="711"/>
      <c r="M74" s="711"/>
      <c r="N74" s="711"/>
      <c r="O74" s="711">
        <v>2</v>
      </c>
      <c r="P74" s="710"/>
      <c r="Q74" s="710"/>
      <c r="R74" s="710"/>
      <c r="S74" s="710"/>
      <c r="T74" s="710"/>
      <c r="U74" s="710"/>
      <c r="V74" s="710"/>
      <c r="W74" s="710"/>
      <c r="X74" s="710"/>
      <c r="Y74" s="709">
        <f>SUM(G74,I74,K74,M74,P74,R74,T74,V74)</f>
        <v>30</v>
      </c>
      <c r="Z74" s="709">
        <f>SUM(G74,P74)</f>
        <v>15</v>
      </c>
      <c r="AA74" s="709">
        <f>SUM(I74,R74)</f>
        <v>15</v>
      </c>
      <c r="AB74" s="709">
        <f>SUM(K74,T74)</f>
        <v>0</v>
      </c>
      <c r="AC74" s="709">
        <f>SUM(M74,V74)</f>
        <v>0</v>
      </c>
      <c r="AD74" s="709">
        <f>SUM(G74:M74,P74:W74,N74)</f>
        <v>50</v>
      </c>
      <c r="AE74" s="709">
        <f>SUM(O74,X74)</f>
        <v>2</v>
      </c>
    </row>
    <row r="75" spans="1:31" ht="29.25" customHeight="1">
      <c r="A75" s="705"/>
      <c r="B75" s="705"/>
      <c r="C75" s="708"/>
      <c r="D75" s="705"/>
      <c r="E75" s="705"/>
      <c r="F75" s="705"/>
      <c r="G75" s="705"/>
      <c r="H75" s="705"/>
      <c r="I75" s="705"/>
      <c r="J75" s="705"/>
      <c r="K75" s="705"/>
      <c r="L75" s="705"/>
      <c r="M75" s="705"/>
      <c r="N75" s="705"/>
      <c r="O75" s="705"/>
      <c r="P75" s="70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705"/>
      <c r="AC75" s="705"/>
      <c r="AD75" s="705"/>
      <c r="AE75" s="705"/>
    </row>
    <row r="76" spans="1:31">
      <c r="Q76" s="707"/>
    </row>
    <row r="82" spans="2:23" ht="46.5">
      <c r="B82" s="706" t="s">
        <v>308</v>
      </c>
      <c r="K82" s="696"/>
      <c r="L82" s="696"/>
      <c r="M82" s="696"/>
      <c r="N82" s="696"/>
      <c r="O82" s="695"/>
      <c r="W82" s="694" t="s">
        <v>123</v>
      </c>
    </row>
    <row r="84" spans="2:23" ht="18.75">
      <c r="B84" s="704" t="s">
        <v>339</v>
      </c>
      <c r="C84" s="704"/>
      <c r="D84" s="704"/>
      <c r="E84" s="704"/>
      <c r="F84" s="704"/>
      <c r="G84" s="704"/>
      <c r="H84" s="704"/>
      <c r="I84" s="704"/>
      <c r="J84" s="704"/>
      <c r="K84" s="705"/>
      <c r="L84" s="705"/>
      <c r="M84" s="705"/>
      <c r="N84" s="705"/>
      <c r="O84" s="705"/>
      <c r="P84" s="705"/>
    </row>
    <row r="85" spans="2:23" ht="18.75">
      <c r="B85" s="704" t="s">
        <v>433</v>
      </c>
      <c r="C85" s="704"/>
      <c r="D85" s="704"/>
      <c r="E85" s="704"/>
      <c r="F85" s="704"/>
      <c r="G85" s="704"/>
      <c r="H85" s="704"/>
      <c r="I85" s="704"/>
      <c r="J85" s="704"/>
      <c r="K85" s="705"/>
      <c r="L85" s="705"/>
      <c r="M85" s="705"/>
      <c r="N85" s="705"/>
      <c r="O85" s="705"/>
      <c r="P85" s="705"/>
    </row>
    <row r="86" spans="2:23" ht="18.75">
      <c r="B86" s="703" t="s">
        <v>434</v>
      </c>
      <c r="C86" s="703"/>
      <c r="D86" s="703"/>
      <c r="E86" s="703"/>
      <c r="F86" s="703"/>
      <c r="G86" s="703"/>
      <c r="H86" s="703"/>
      <c r="I86" s="704"/>
      <c r="J86" s="704"/>
      <c r="K86" s="705"/>
      <c r="L86" s="705"/>
      <c r="M86" s="705"/>
      <c r="N86" s="705"/>
      <c r="O86" s="705"/>
      <c r="P86" s="705"/>
    </row>
    <row r="87" spans="2:23" ht="18.75">
      <c r="B87" s="703" t="s">
        <v>435</v>
      </c>
      <c r="C87" s="703"/>
      <c r="D87" s="703"/>
      <c r="E87" s="703"/>
      <c r="F87" s="703"/>
      <c r="G87" s="703"/>
      <c r="H87" s="703"/>
      <c r="I87" s="704"/>
      <c r="J87" s="704"/>
      <c r="K87" s="705"/>
      <c r="L87" s="705"/>
      <c r="M87" s="705"/>
      <c r="N87" s="705"/>
      <c r="O87" s="705"/>
      <c r="P87" s="705"/>
    </row>
    <row r="88" spans="2:23" ht="18.75">
      <c r="B88" s="703" t="s">
        <v>482</v>
      </c>
      <c r="C88" s="703"/>
      <c r="D88" s="703"/>
      <c r="E88" s="703"/>
      <c r="F88" s="703"/>
      <c r="G88" s="703"/>
      <c r="H88" s="703"/>
      <c r="I88" s="704"/>
      <c r="J88" s="704"/>
      <c r="K88" s="705"/>
      <c r="L88" s="705"/>
      <c r="M88" s="705"/>
      <c r="N88" s="705"/>
      <c r="O88" s="705"/>
      <c r="P88" s="705"/>
    </row>
    <row r="89" spans="2:23" ht="18.75">
      <c r="B89" s="703" t="s">
        <v>481</v>
      </c>
      <c r="C89" s="703"/>
      <c r="D89" s="703"/>
      <c r="E89" s="703"/>
      <c r="F89" s="703"/>
      <c r="G89" s="703"/>
      <c r="H89" s="703"/>
      <c r="I89" s="704"/>
      <c r="J89" s="704"/>
      <c r="K89" s="705"/>
      <c r="L89" s="705"/>
      <c r="M89" s="705"/>
      <c r="N89" s="705"/>
      <c r="O89" s="705"/>
      <c r="P89" s="705"/>
    </row>
    <row r="90" spans="2:23" ht="18.75">
      <c r="B90" s="703" t="s">
        <v>476</v>
      </c>
      <c r="C90" s="703"/>
      <c r="D90" s="703"/>
      <c r="E90" s="703"/>
      <c r="F90" s="703"/>
      <c r="G90" s="703"/>
      <c r="H90" s="703"/>
      <c r="I90" s="704"/>
      <c r="J90" s="704"/>
      <c r="K90" s="705"/>
      <c r="L90" s="705"/>
      <c r="M90" s="705"/>
      <c r="N90" s="705"/>
      <c r="O90" s="705"/>
      <c r="P90" s="705"/>
    </row>
    <row r="91" spans="2:23" ht="18.75">
      <c r="B91" s="703" t="s">
        <v>436</v>
      </c>
      <c r="C91" s="703"/>
      <c r="D91" s="703"/>
      <c r="E91" s="703"/>
      <c r="F91" s="703"/>
      <c r="G91" s="703"/>
      <c r="H91" s="703"/>
      <c r="I91" s="704"/>
      <c r="J91" s="704"/>
      <c r="K91" s="705"/>
      <c r="L91" s="705"/>
      <c r="M91" s="705"/>
      <c r="N91" s="705"/>
      <c r="O91" s="705"/>
      <c r="P91" s="705"/>
    </row>
    <row r="92" spans="2:23" ht="18.75">
      <c r="B92" s="703" t="s">
        <v>437</v>
      </c>
      <c r="C92" s="703"/>
      <c r="D92" s="703"/>
      <c r="E92" s="703"/>
      <c r="F92" s="703"/>
      <c r="G92" s="703"/>
      <c r="H92" s="703"/>
      <c r="I92" s="704"/>
      <c r="J92" s="704"/>
      <c r="K92" s="705"/>
      <c r="L92" s="705"/>
      <c r="M92" s="705"/>
      <c r="N92" s="705"/>
      <c r="O92" s="705"/>
      <c r="P92" s="705"/>
    </row>
    <row r="93" spans="2:23" ht="18.75">
      <c r="B93" s="703" t="s">
        <v>477</v>
      </c>
      <c r="C93" s="703"/>
      <c r="D93" s="703"/>
      <c r="E93" s="703"/>
      <c r="F93" s="703"/>
      <c r="G93" s="703"/>
      <c r="H93" s="703"/>
      <c r="I93" s="704"/>
      <c r="J93" s="704"/>
      <c r="K93" s="705"/>
      <c r="L93" s="705"/>
      <c r="M93" s="705"/>
      <c r="N93" s="705"/>
      <c r="O93" s="705"/>
      <c r="P93" s="705"/>
    </row>
    <row r="94" spans="2:23" ht="18.75">
      <c r="B94" s="703" t="s">
        <v>478</v>
      </c>
      <c r="C94" s="703"/>
      <c r="D94" s="703"/>
      <c r="E94" s="703"/>
      <c r="F94" s="703"/>
      <c r="G94" s="703"/>
      <c r="H94" s="703"/>
      <c r="I94" s="704"/>
      <c r="J94" s="704"/>
      <c r="K94" s="705"/>
      <c r="L94" s="705"/>
      <c r="M94" s="705"/>
      <c r="N94" s="705"/>
      <c r="O94" s="705"/>
      <c r="P94" s="705"/>
    </row>
    <row r="95" spans="2:23" ht="18.75">
      <c r="B95" s="703" t="s">
        <v>479</v>
      </c>
      <c r="C95" s="703"/>
      <c r="D95" s="703"/>
      <c r="E95" s="703"/>
      <c r="F95" s="703"/>
      <c r="G95" s="703"/>
      <c r="H95" s="703"/>
      <c r="I95" s="704"/>
      <c r="J95" s="704"/>
      <c r="K95" s="705"/>
      <c r="L95" s="705"/>
      <c r="M95" s="705"/>
      <c r="N95" s="705"/>
      <c r="O95" s="705"/>
      <c r="P95" s="705"/>
    </row>
    <row r="96" spans="2:23" ht="18.75">
      <c r="B96" s="703" t="s">
        <v>480</v>
      </c>
      <c r="C96" s="703"/>
      <c r="D96" s="703"/>
      <c r="E96" s="703"/>
      <c r="F96" s="703"/>
      <c r="G96" s="703"/>
      <c r="H96" s="703"/>
      <c r="I96" s="704"/>
      <c r="J96" s="704"/>
      <c r="K96" s="705"/>
      <c r="L96" s="705"/>
      <c r="M96" s="705"/>
      <c r="N96" s="705"/>
      <c r="O96" s="705"/>
      <c r="P96" s="705"/>
    </row>
    <row r="97" spans="2:17" ht="18.75">
      <c r="B97" s="704" t="s">
        <v>438</v>
      </c>
      <c r="C97" s="703"/>
      <c r="D97" s="703"/>
      <c r="E97" s="703"/>
      <c r="F97" s="703"/>
      <c r="G97" s="703"/>
      <c r="H97" s="703"/>
      <c r="I97" s="704"/>
      <c r="J97" s="704"/>
      <c r="K97" s="705"/>
      <c r="L97" s="705"/>
      <c r="M97" s="705"/>
      <c r="N97" s="705"/>
      <c r="O97" s="705"/>
      <c r="P97" s="705"/>
    </row>
    <row r="98" spans="2:17" ht="18.75">
      <c r="B98" s="703" t="s">
        <v>439</v>
      </c>
      <c r="C98" s="703"/>
      <c r="D98" s="703"/>
      <c r="E98" s="703"/>
      <c r="F98" s="703"/>
      <c r="G98" s="703"/>
      <c r="H98" s="703"/>
      <c r="I98" s="704"/>
      <c r="J98" s="704"/>
      <c r="K98" s="705"/>
      <c r="L98" s="705"/>
      <c r="M98" s="705"/>
      <c r="N98" s="705"/>
      <c r="O98" s="705"/>
      <c r="P98" s="705"/>
    </row>
    <row r="99" spans="2:17" ht="18.75">
      <c r="B99" s="703" t="s">
        <v>440</v>
      </c>
      <c r="C99" s="703"/>
      <c r="D99" s="703"/>
      <c r="E99" s="703"/>
      <c r="F99" s="703"/>
      <c r="G99" s="703"/>
      <c r="H99" s="703"/>
      <c r="I99" s="704"/>
      <c r="J99" s="704"/>
      <c r="K99" s="705"/>
      <c r="L99" s="705"/>
      <c r="M99" s="705"/>
      <c r="N99" s="705"/>
      <c r="O99" s="705"/>
      <c r="P99" s="705"/>
    </row>
    <row r="100" spans="2:17" ht="18.75">
      <c r="B100" s="704" t="s">
        <v>369</v>
      </c>
    </row>
    <row r="101" spans="2:17" ht="18.75">
      <c r="B101" s="704" t="s">
        <v>441</v>
      </c>
    </row>
    <row r="102" spans="2:17" ht="20.25">
      <c r="B102" s="703" t="s">
        <v>442</v>
      </c>
      <c r="C102" s="701"/>
      <c r="D102" s="701"/>
      <c r="E102" s="701"/>
      <c r="F102" s="701"/>
      <c r="G102" s="702"/>
      <c r="H102" s="701"/>
    </row>
    <row r="103" spans="2:17" ht="20.25">
      <c r="B103" s="703" t="s">
        <v>443</v>
      </c>
      <c r="C103" s="701"/>
      <c r="D103" s="701"/>
      <c r="E103" s="701"/>
      <c r="F103" s="701"/>
      <c r="G103" s="702"/>
      <c r="H103" s="701"/>
    </row>
    <row r="104" spans="2:17" ht="18.75">
      <c r="B104" s="704" t="s">
        <v>444</v>
      </c>
    </row>
    <row r="105" spans="2:17" ht="20.25">
      <c r="B105" s="703" t="s">
        <v>445</v>
      </c>
      <c r="C105" s="701"/>
      <c r="D105" s="701"/>
      <c r="E105" s="701"/>
      <c r="F105" s="701"/>
      <c r="G105" s="702"/>
      <c r="H105" s="701"/>
    </row>
    <row r="106" spans="2:17" ht="20.25">
      <c r="B106" s="703" t="s">
        <v>446</v>
      </c>
      <c r="C106" s="701"/>
      <c r="D106" s="701"/>
      <c r="E106" s="701"/>
      <c r="F106" s="701"/>
      <c r="G106" s="702"/>
      <c r="H106" s="701"/>
    </row>
    <row r="107" spans="2:17" ht="21">
      <c r="B107" s="700" t="s">
        <v>447</v>
      </c>
      <c r="C107" s="695"/>
      <c r="D107" s="695"/>
      <c r="E107" s="695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</row>
    <row r="108" spans="2:17" ht="18.75">
      <c r="B108" s="698" t="s">
        <v>448</v>
      </c>
      <c r="C108" s="699"/>
      <c r="D108" s="699"/>
      <c r="E108" s="699"/>
      <c r="F108" s="699"/>
      <c r="G108" s="698"/>
      <c r="H108" s="698"/>
      <c r="I108" s="698"/>
      <c r="J108" s="698"/>
      <c r="K108" s="698"/>
      <c r="L108" s="698"/>
      <c r="M108" s="698"/>
      <c r="N108" s="698"/>
      <c r="O108" s="698"/>
      <c r="P108" s="698"/>
      <c r="Q108" s="697"/>
    </row>
    <row r="110" spans="2:17" ht="21">
      <c r="C110" s="696" t="s">
        <v>424</v>
      </c>
      <c r="D110" s="696"/>
      <c r="E110" s="696"/>
      <c r="F110" s="696"/>
      <c r="G110" s="695"/>
      <c r="N110" s="694" t="s">
        <v>123</v>
      </c>
    </row>
  </sheetData>
  <mergeCells count="47">
    <mergeCell ref="A1:AE1"/>
    <mergeCell ref="A2:B2"/>
    <mergeCell ref="H2:P2"/>
    <mergeCell ref="A3:B3"/>
    <mergeCell ref="A4:R4"/>
    <mergeCell ref="E8:E9"/>
    <mergeCell ref="M8:N8"/>
    <mergeCell ref="O8:O9"/>
    <mergeCell ref="Z6:Z9"/>
    <mergeCell ref="A5:F5"/>
    <mergeCell ref="G5:AE5"/>
    <mergeCell ref="AE6:AE9"/>
    <mergeCell ref="A6:A9"/>
    <mergeCell ref="B6:B9"/>
    <mergeCell ref="C6:C9"/>
    <mergeCell ref="D6:F7"/>
    <mergeCell ref="G6:X6"/>
    <mergeCell ref="Y6:Y9"/>
    <mergeCell ref="G7:O7"/>
    <mergeCell ref="P7:X7"/>
    <mergeCell ref="D8:D9"/>
    <mergeCell ref="R8:S8"/>
    <mergeCell ref="T8:U8"/>
    <mergeCell ref="V8:W8"/>
    <mergeCell ref="X8:X9"/>
    <mergeCell ref="AC6:AC9"/>
    <mergeCell ref="AD6:AD9"/>
    <mergeCell ref="A48:F48"/>
    <mergeCell ref="A49:F49"/>
    <mergeCell ref="AA6:AA9"/>
    <mergeCell ref="AB6:AB9"/>
    <mergeCell ref="A12:F12"/>
    <mergeCell ref="F8:F9"/>
    <mergeCell ref="G8:H8"/>
    <mergeCell ref="I8:J8"/>
    <mergeCell ref="K8:L8"/>
    <mergeCell ref="P8:Q8"/>
    <mergeCell ref="A51:AE51"/>
    <mergeCell ref="A18:F18"/>
    <mergeCell ref="A31:F31"/>
    <mergeCell ref="A35:F35"/>
    <mergeCell ref="A39:F39"/>
    <mergeCell ref="A42:F42"/>
    <mergeCell ref="B44:D44"/>
    <mergeCell ref="B45:D45"/>
    <mergeCell ref="B46:D46"/>
    <mergeCell ref="B47:D4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="90" zoomScaleNormal="90" workbookViewId="0">
      <selection activeCell="D16" sqref="D16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5.85546875" customWidth="1"/>
    <col min="6" max="6" width="5" customWidth="1"/>
    <col min="7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510" t="s">
        <v>401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</row>
    <row r="2" spans="1:31" ht="58.5" customHeight="1">
      <c r="A2" s="534" t="s">
        <v>356</v>
      </c>
      <c r="B2" s="534"/>
      <c r="C2" s="346" t="s">
        <v>357</v>
      </c>
      <c r="D2" s="332"/>
      <c r="E2" s="347"/>
      <c r="F2" s="347"/>
      <c r="G2" s="347"/>
      <c r="H2" s="535" t="s">
        <v>194</v>
      </c>
      <c r="I2" s="535"/>
      <c r="J2" s="535"/>
      <c r="K2" s="535"/>
      <c r="L2" s="535"/>
      <c r="M2" s="535"/>
      <c r="N2" s="535"/>
      <c r="O2" s="535"/>
      <c r="P2" s="535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1" ht="24.75" customHeight="1">
      <c r="A3" s="536" t="s">
        <v>358</v>
      </c>
      <c r="B3" s="536"/>
      <c r="C3" s="349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</row>
    <row r="4" spans="1:31" ht="15" customHeight="1">
      <c r="A4" s="350"/>
      <c r="B4" s="413" t="s">
        <v>347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</row>
    <row r="5" spans="1:31" ht="15" customHeight="1">
      <c r="A5" s="554"/>
      <c r="B5" s="555"/>
      <c r="C5" s="555"/>
      <c r="D5" s="555"/>
      <c r="E5" s="555"/>
      <c r="F5" s="556"/>
      <c r="G5" s="604" t="s">
        <v>103</v>
      </c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9"/>
    </row>
    <row r="6" spans="1:31" ht="18" customHeight="1">
      <c r="A6" s="560" t="s">
        <v>0</v>
      </c>
      <c r="B6" s="493" t="s">
        <v>4</v>
      </c>
      <c r="C6" s="493" t="s">
        <v>1</v>
      </c>
      <c r="D6" s="562" t="s">
        <v>8</v>
      </c>
      <c r="E6" s="562"/>
      <c r="F6" s="562"/>
      <c r="G6" s="353"/>
      <c r="H6" s="353"/>
      <c r="I6" s="353"/>
      <c r="J6" s="353"/>
      <c r="K6" s="353"/>
      <c r="L6" s="353"/>
      <c r="M6" s="353"/>
      <c r="N6" s="353"/>
      <c r="O6" s="353" t="s">
        <v>195</v>
      </c>
      <c r="P6" s="353"/>
      <c r="Q6" s="353"/>
      <c r="R6" s="353"/>
      <c r="S6" s="353"/>
      <c r="T6" s="353"/>
      <c r="U6" s="353"/>
      <c r="V6" s="353"/>
      <c r="W6" s="353"/>
      <c r="X6" s="353"/>
      <c r="Y6" s="499" t="s">
        <v>5</v>
      </c>
      <c r="Z6" s="499" t="s">
        <v>89</v>
      </c>
      <c r="AA6" s="499" t="s">
        <v>88</v>
      </c>
      <c r="AB6" s="499" t="s">
        <v>94</v>
      </c>
      <c r="AC6" s="499" t="s">
        <v>90</v>
      </c>
      <c r="AD6" s="499" t="s">
        <v>14</v>
      </c>
      <c r="AE6" s="499" t="s">
        <v>6</v>
      </c>
    </row>
    <row r="7" spans="1:31">
      <c r="A7" s="560"/>
      <c r="B7" s="493"/>
      <c r="C7" s="493"/>
      <c r="D7" s="562"/>
      <c r="E7" s="562"/>
      <c r="F7" s="562"/>
      <c r="G7" s="507" t="s">
        <v>244</v>
      </c>
      <c r="H7" s="508"/>
      <c r="I7" s="508"/>
      <c r="J7" s="508"/>
      <c r="K7" s="508"/>
      <c r="L7" s="508"/>
      <c r="M7" s="508"/>
      <c r="N7" s="508"/>
      <c r="O7" s="509"/>
      <c r="P7" s="502" t="s">
        <v>245</v>
      </c>
      <c r="Q7" s="518"/>
      <c r="R7" s="518"/>
      <c r="S7" s="518"/>
      <c r="T7" s="518"/>
      <c r="U7" s="518"/>
      <c r="V7" s="518"/>
      <c r="W7" s="518"/>
      <c r="X7" s="503"/>
      <c r="Y7" s="500"/>
      <c r="Z7" s="500"/>
      <c r="AA7" s="500"/>
      <c r="AB7" s="500"/>
      <c r="AC7" s="500"/>
      <c r="AD7" s="500"/>
      <c r="AE7" s="500"/>
    </row>
    <row r="8" spans="1:31" ht="22.5" customHeight="1">
      <c r="A8" s="561"/>
      <c r="B8" s="491"/>
      <c r="C8" s="491"/>
      <c r="D8" s="491" t="s">
        <v>2</v>
      </c>
      <c r="E8" s="491" t="s">
        <v>13</v>
      </c>
      <c r="F8" s="491" t="s">
        <v>12</v>
      </c>
      <c r="G8" s="507" t="s">
        <v>348</v>
      </c>
      <c r="H8" s="509"/>
      <c r="I8" s="507" t="s">
        <v>349</v>
      </c>
      <c r="J8" s="509"/>
      <c r="K8" s="507" t="s">
        <v>350</v>
      </c>
      <c r="L8" s="509"/>
      <c r="M8" s="507" t="s">
        <v>351</v>
      </c>
      <c r="N8" s="509"/>
      <c r="O8" s="522" t="s">
        <v>7</v>
      </c>
      <c r="P8" s="502" t="s">
        <v>348</v>
      </c>
      <c r="Q8" s="503"/>
      <c r="R8" s="502" t="s">
        <v>349</v>
      </c>
      <c r="S8" s="503"/>
      <c r="T8" s="502" t="s">
        <v>350</v>
      </c>
      <c r="U8" s="503"/>
      <c r="V8" s="502" t="s">
        <v>351</v>
      </c>
      <c r="W8" s="503"/>
      <c r="X8" s="504" t="s">
        <v>7</v>
      </c>
      <c r="Y8" s="500"/>
      <c r="Z8" s="500"/>
      <c r="AA8" s="500"/>
      <c r="AB8" s="500"/>
      <c r="AC8" s="500"/>
      <c r="AD8" s="500"/>
      <c r="AE8" s="500"/>
    </row>
    <row r="9" spans="1:31" ht="43.5" customHeight="1">
      <c r="A9" s="561"/>
      <c r="B9" s="491"/>
      <c r="C9" s="491"/>
      <c r="D9" s="581"/>
      <c r="E9" s="581"/>
      <c r="F9" s="581"/>
      <c r="G9" s="408" t="s">
        <v>15</v>
      </c>
      <c r="H9" s="408" t="s">
        <v>16</v>
      </c>
      <c r="I9" s="408" t="s">
        <v>15</v>
      </c>
      <c r="J9" s="408" t="s">
        <v>16</v>
      </c>
      <c r="K9" s="408" t="s">
        <v>15</v>
      </c>
      <c r="L9" s="408" t="s">
        <v>16</v>
      </c>
      <c r="M9" s="408" t="s">
        <v>15</v>
      </c>
      <c r="N9" s="408" t="s">
        <v>16</v>
      </c>
      <c r="O9" s="593"/>
      <c r="P9" s="409" t="s">
        <v>15</v>
      </c>
      <c r="Q9" s="409" t="s">
        <v>16</v>
      </c>
      <c r="R9" s="409" t="s">
        <v>15</v>
      </c>
      <c r="S9" s="409" t="s">
        <v>16</v>
      </c>
      <c r="T9" s="409" t="s">
        <v>15</v>
      </c>
      <c r="U9" s="409" t="s">
        <v>16</v>
      </c>
      <c r="V9" s="409" t="s">
        <v>15</v>
      </c>
      <c r="W9" s="409" t="s">
        <v>16</v>
      </c>
      <c r="X9" s="582"/>
      <c r="Y9" s="500"/>
      <c r="Z9" s="500"/>
      <c r="AA9" s="500"/>
      <c r="AB9" s="500"/>
      <c r="AC9" s="500"/>
      <c r="AD9" s="500"/>
      <c r="AE9" s="500"/>
    </row>
    <row r="10" spans="1:31" s="67" customFormat="1" ht="24.75" customHeight="1">
      <c r="A10" s="414" t="s">
        <v>421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6"/>
    </row>
    <row r="11" spans="1:31" ht="29.25" customHeight="1">
      <c r="A11" s="417">
        <v>8.1</v>
      </c>
      <c r="B11" s="127" t="s">
        <v>80</v>
      </c>
      <c r="C11" s="163" t="str">
        <f>RAZEM!C71</f>
        <v>0912-7LEK-C8.1-C</v>
      </c>
      <c r="D11" s="418">
        <v>11</v>
      </c>
      <c r="E11" s="419">
        <v>11</v>
      </c>
      <c r="F11" s="419"/>
      <c r="G11" s="420"/>
      <c r="H11" s="420"/>
      <c r="I11" s="420"/>
      <c r="J11" s="420"/>
      <c r="K11" s="420">
        <v>240</v>
      </c>
      <c r="L11" s="420">
        <v>160</v>
      </c>
      <c r="M11" s="420"/>
      <c r="N11" s="420"/>
      <c r="O11" s="420">
        <v>16</v>
      </c>
      <c r="P11" s="421"/>
      <c r="Q11" s="421"/>
      <c r="R11" s="421"/>
      <c r="S11" s="421"/>
      <c r="T11" s="421"/>
      <c r="U11" s="421"/>
      <c r="V11" s="421"/>
      <c r="W11" s="421"/>
      <c r="X11" s="421"/>
      <c r="Y11" s="422">
        <f>SUM(G11,I11,K11,M11,P11,R11,T11,V11)</f>
        <v>240</v>
      </c>
      <c r="Z11" s="422">
        <f>SUM(G11,P11)</f>
        <v>0</v>
      </c>
      <c r="AA11" s="422">
        <f>SUM(I11,R11)</f>
        <v>0</v>
      </c>
      <c r="AB11" s="422">
        <f>SUM(K11,T11)</f>
        <v>240</v>
      </c>
      <c r="AC11" s="422">
        <f>SUM(M11,V11)</f>
        <v>0</v>
      </c>
      <c r="AD11" s="422">
        <f>SUM(G11:N11,P11:W11)</f>
        <v>400</v>
      </c>
      <c r="AE11" s="422">
        <f>SUM(O11,X11)</f>
        <v>16</v>
      </c>
    </row>
    <row r="12" spans="1:31" ht="29.25" customHeight="1">
      <c r="A12" s="423">
        <v>8.1999999999999993</v>
      </c>
      <c r="B12" s="126" t="s">
        <v>51</v>
      </c>
      <c r="C12" s="163" t="str">
        <f>RAZEM!C72</f>
        <v>0912-7LEK-C8.2-P</v>
      </c>
      <c r="D12" s="424">
        <v>11</v>
      </c>
      <c r="E12" s="425">
        <v>11</v>
      </c>
      <c r="F12" s="425"/>
      <c r="G12" s="55"/>
      <c r="H12" s="55"/>
      <c r="I12" s="55"/>
      <c r="J12" s="55"/>
      <c r="K12" s="55">
        <v>120</v>
      </c>
      <c r="L12" s="55">
        <v>80</v>
      </c>
      <c r="M12" s="55"/>
      <c r="N12" s="55"/>
      <c r="O12" s="55">
        <v>8</v>
      </c>
      <c r="P12" s="56"/>
      <c r="Q12" s="56"/>
      <c r="R12" s="56"/>
      <c r="S12" s="56"/>
      <c r="T12" s="56"/>
      <c r="U12" s="56"/>
      <c r="V12" s="56"/>
      <c r="W12" s="56"/>
      <c r="X12" s="56"/>
      <c r="Y12" s="43">
        <f t="shared" ref="Y12:Y17" si="0">SUM(G12,I12,K12,M12,P12,R12,T12,V12)</f>
        <v>120</v>
      </c>
      <c r="Z12" s="43">
        <f t="shared" ref="Z12:Z17" si="1">SUM(G12,P12)</f>
        <v>0</v>
      </c>
      <c r="AA12" s="43">
        <f t="shared" ref="AA12:AA17" si="2">SUM(I12,R12)</f>
        <v>0</v>
      </c>
      <c r="AB12" s="43">
        <f t="shared" ref="AB12:AB17" si="3">SUM(K12,T12)</f>
        <v>120</v>
      </c>
      <c r="AC12" s="43">
        <f t="shared" ref="AC12:AC17" si="4">SUM(M12,V12)</f>
        <v>0</v>
      </c>
      <c r="AD12" s="43">
        <f t="shared" ref="AD12:AD17" si="5">SUM(G12:N12,P12:W12)</f>
        <v>200</v>
      </c>
      <c r="AE12" s="43">
        <f t="shared" ref="AE12:AE17" si="6">SUM(O12,X12)</f>
        <v>8</v>
      </c>
    </row>
    <row r="13" spans="1:31" ht="29.25" customHeight="1">
      <c r="A13" s="423">
        <v>8.3000000000000007</v>
      </c>
      <c r="B13" s="126" t="s">
        <v>81</v>
      </c>
      <c r="C13" s="163" t="str">
        <f>RAZEM!C73</f>
        <v>0912-7LEK-C8.3-C</v>
      </c>
      <c r="D13" s="424">
        <v>12</v>
      </c>
      <c r="E13" s="425" t="s">
        <v>32</v>
      </c>
      <c r="F13" s="425"/>
      <c r="G13" s="55"/>
      <c r="H13" s="55"/>
      <c r="I13" s="55"/>
      <c r="J13" s="55"/>
      <c r="K13" s="55">
        <v>60</v>
      </c>
      <c r="L13" s="55">
        <v>40</v>
      </c>
      <c r="M13" s="473"/>
      <c r="N13" s="473"/>
      <c r="O13" s="55">
        <v>4</v>
      </c>
      <c r="P13" s="472"/>
      <c r="Q13" s="472"/>
      <c r="R13" s="472"/>
      <c r="S13" s="472"/>
      <c r="T13" s="56">
        <v>60</v>
      </c>
      <c r="U13" s="56">
        <v>40</v>
      </c>
      <c r="V13" s="472"/>
      <c r="W13" s="472"/>
      <c r="X13" s="56">
        <v>4</v>
      </c>
      <c r="Y13" s="43">
        <f t="shared" si="0"/>
        <v>120</v>
      </c>
      <c r="Z13" s="43">
        <f t="shared" si="1"/>
        <v>0</v>
      </c>
      <c r="AA13" s="43">
        <f t="shared" si="2"/>
        <v>0</v>
      </c>
      <c r="AB13" s="43">
        <f t="shared" si="3"/>
        <v>120</v>
      </c>
      <c r="AC13" s="43">
        <f t="shared" si="4"/>
        <v>0</v>
      </c>
      <c r="AD13" s="43">
        <f t="shared" si="5"/>
        <v>200</v>
      </c>
      <c r="AE13" s="43">
        <f t="shared" si="6"/>
        <v>8</v>
      </c>
    </row>
    <row r="14" spans="1:31" ht="29.25" customHeight="1">
      <c r="A14" s="423">
        <v>8.4</v>
      </c>
      <c r="B14" s="126" t="s">
        <v>70</v>
      </c>
      <c r="C14" s="163" t="str">
        <f>RAZEM!C74</f>
        <v>0912-7LEK-C8.4-G</v>
      </c>
      <c r="D14" s="424">
        <v>12</v>
      </c>
      <c r="E14" s="425">
        <v>12</v>
      </c>
      <c r="F14" s="42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6"/>
      <c r="T14" s="56">
        <v>60</v>
      </c>
      <c r="U14" s="56">
        <v>40</v>
      </c>
      <c r="V14" s="56"/>
      <c r="W14" s="56"/>
      <c r="X14" s="56">
        <v>4</v>
      </c>
      <c r="Y14" s="43">
        <f t="shared" si="0"/>
        <v>60</v>
      </c>
      <c r="Z14" s="43">
        <f t="shared" si="1"/>
        <v>0</v>
      </c>
      <c r="AA14" s="43">
        <f t="shared" si="2"/>
        <v>0</v>
      </c>
      <c r="AB14" s="43">
        <f t="shared" si="3"/>
        <v>60</v>
      </c>
      <c r="AC14" s="43">
        <f t="shared" si="4"/>
        <v>0</v>
      </c>
      <c r="AD14" s="43">
        <f t="shared" si="5"/>
        <v>100</v>
      </c>
      <c r="AE14" s="43">
        <f t="shared" si="6"/>
        <v>4</v>
      </c>
    </row>
    <row r="15" spans="1:31" ht="29.25" customHeight="1">
      <c r="A15" s="423">
        <v>8.5</v>
      </c>
      <c r="B15" s="126" t="s">
        <v>54</v>
      </c>
      <c r="C15" s="163" t="str">
        <f>RAZEM!C75</f>
        <v>0912-7LEK-C8.5-P</v>
      </c>
      <c r="D15" s="424">
        <v>12</v>
      </c>
      <c r="E15" s="425">
        <v>12</v>
      </c>
      <c r="F15" s="425"/>
      <c r="G15" s="55"/>
      <c r="H15" s="55"/>
      <c r="I15" s="55"/>
      <c r="J15" s="55"/>
      <c r="K15" s="55">
        <v>60</v>
      </c>
      <c r="L15" s="55">
        <v>40</v>
      </c>
      <c r="M15" s="473"/>
      <c r="N15" s="473"/>
      <c r="O15" s="55">
        <v>4</v>
      </c>
      <c r="P15" s="56"/>
      <c r="Q15" s="56"/>
      <c r="R15" s="56"/>
      <c r="S15" s="56"/>
      <c r="T15" s="56"/>
      <c r="U15" s="56"/>
      <c r="V15" s="56"/>
      <c r="W15" s="56"/>
      <c r="X15" s="56"/>
      <c r="Y15" s="43">
        <f t="shared" si="0"/>
        <v>60</v>
      </c>
      <c r="Z15" s="43">
        <f t="shared" si="1"/>
        <v>0</v>
      </c>
      <c r="AA15" s="43">
        <f t="shared" si="2"/>
        <v>0</v>
      </c>
      <c r="AB15" s="43">
        <f t="shared" si="3"/>
        <v>60</v>
      </c>
      <c r="AC15" s="43">
        <f t="shared" si="4"/>
        <v>0</v>
      </c>
      <c r="AD15" s="43">
        <f t="shared" si="5"/>
        <v>100</v>
      </c>
      <c r="AE15" s="43">
        <f t="shared" si="6"/>
        <v>4</v>
      </c>
    </row>
    <row r="16" spans="1:31" ht="29.25" customHeight="1">
      <c r="A16" s="423">
        <v>8.6</v>
      </c>
      <c r="B16" s="126" t="s">
        <v>82</v>
      </c>
      <c r="C16" s="163" t="str">
        <f>RAZEM!C76</f>
        <v>0912-7LEK-C8.6-MR</v>
      </c>
      <c r="D16" s="424">
        <v>9</v>
      </c>
      <c r="E16" s="425">
        <v>12</v>
      </c>
      <c r="F16" s="42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>
        <v>60</v>
      </c>
      <c r="U16" s="56">
        <v>40</v>
      </c>
      <c r="V16" s="56"/>
      <c r="W16" s="56"/>
      <c r="X16" s="56">
        <v>4</v>
      </c>
      <c r="Y16" s="43">
        <f t="shared" si="0"/>
        <v>60</v>
      </c>
      <c r="Z16" s="43">
        <f t="shared" si="1"/>
        <v>0</v>
      </c>
      <c r="AA16" s="43">
        <f t="shared" si="2"/>
        <v>0</v>
      </c>
      <c r="AB16" s="43">
        <f t="shared" si="3"/>
        <v>60</v>
      </c>
      <c r="AC16" s="43">
        <f t="shared" si="4"/>
        <v>0</v>
      </c>
      <c r="AD16" s="43">
        <f t="shared" si="5"/>
        <v>100</v>
      </c>
      <c r="AE16" s="43">
        <f t="shared" si="6"/>
        <v>4</v>
      </c>
    </row>
    <row r="17" spans="1:31" ht="29.25" customHeight="1">
      <c r="A17" s="423">
        <v>8.6999999999999993</v>
      </c>
      <c r="B17" s="126" t="s">
        <v>56</v>
      </c>
      <c r="C17" s="163" t="str">
        <f>RAZEM!C77</f>
        <v>0912-7LEK-C8.7-M</v>
      </c>
      <c r="D17" s="424">
        <v>12</v>
      </c>
      <c r="E17" s="425">
        <v>12</v>
      </c>
      <c r="F17" s="42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56"/>
      <c r="T17" s="56">
        <v>60</v>
      </c>
      <c r="U17" s="56">
        <v>40</v>
      </c>
      <c r="V17" s="56"/>
      <c r="W17" s="56"/>
      <c r="X17" s="56">
        <v>4</v>
      </c>
      <c r="Y17" s="43">
        <f t="shared" si="0"/>
        <v>60</v>
      </c>
      <c r="Z17" s="43">
        <f t="shared" si="1"/>
        <v>0</v>
      </c>
      <c r="AA17" s="43">
        <f t="shared" si="2"/>
        <v>0</v>
      </c>
      <c r="AB17" s="43">
        <f t="shared" si="3"/>
        <v>60</v>
      </c>
      <c r="AC17" s="43">
        <f t="shared" si="4"/>
        <v>0</v>
      </c>
      <c r="AD17" s="43">
        <f t="shared" si="5"/>
        <v>100</v>
      </c>
      <c r="AE17" s="43">
        <f t="shared" si="6"/>
        <v>4</v>
      </c>
    </row>
    <row r="18" spans="1:31" ht="29.25" customHeight="1">
      <c r="A18" s="423">
        <v>8.8000000000000007</v>
      </c>
      <c r="B18" s="126" t="s">
        <v>33</v>
      </c>
      <c r="C18" s="163" t="str">
        <f>RAZEM!C78</f>
        <v>0912-7LEK-C8.8-S</v>
      </c>
      <c r="D18" s="424"/>
      <c r="E18" s="425">
        <v>12</v>
      </c>
      <c r="F18" s="42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6"/>
      <c r="S18" s="56"/>
      <c r="T18" s="56">
        <v>180</v>
      </c>
      <c r="U18" s="56">
        <v>120</v>
      </c>
      <c r="V18" s="56"/>
      <c r="W18" s="56"/>
      <c r="X18" s="56">
        <v>12</v>
      </c>
      <c r="Y18" s="43">
        <f>SUM(G18,I18,K18,M18,P18,R18,T18,V18)</f>
        <v>180</v>
      </c>
      <c r="Z18" s="43">
        <f>SUM(G18,P18)</f>
        <v>0</v>
      </c>
      <c r="AA18" s="43">
        <f>SUM(I18,R18)</f>
        <v>0</v>
      </c>
      <c r="AB18" s="43">
        <f>SUM(K18,T18)</f>
        <v>180</v>
      </c>
      <c r="AC18" s="43">
        <f>SUM(M18,V18)</f>
        <v>0</v>
      </c>
      <c r="AD18" s="43">
        <f>SUM(G18:N18,P18:W18)</f>
        <v>300</v>
      </c>
      <c r="AE18" s="43">
        <f>SUM(O18,X18)</f>
        <v>12</v>
      </c>
    </row>
    <row r="19" spans="1:31" ht="29.25" customHeight="1">
      <c r="A19" s="486" t="s">
        <v>9</v>
      </c>
      <c r="B19" s="487"/>
      <c r="C19" s="487"/>
      <c r="D19" s="487"/>
      <c r="E19" s="487"/>
      <c r="F19" s="488"/>
      <c r="G19" s="64">
        <f t="shared" ref="G19:AE19" si="7">SUM(G11:G18)</f>
        <v>0</v>
      </c>
      <c r="H19" s="64">
        <f t="shared" si="7"/>
        <v>0</v>
      </c>
      <c r="I19" s="64">
        <f t="shared" si="7"/>
        <v>0</v>
      </c>
      <c r="J19" s="64">
        <f t="shared" si="7"/>
        <v>0</v>
      </c>
      <c r="K19" s="64">
        <f t="shared" si="7"/>
        <v>480</v>
      </c>
      <c r="L19" s="64">
        <f t="shared" si="7"/>
        <v>320</v>
      </c>
      <c r="M19" s="64">
        <f t="shared" si="7"/>
        <v>0</v>
      </c>
      <c r="N19" s="64">
        <f t="shared" si="7"/>
        <v>0</v>
      </c>
      <c r="O19" s="64">
        <f t="shared" si="7"/>
        <v>32</v>
      </c>
      <c r="P19" s="64">
        <f t="shared" si="7"/>
        <v>0</v>
      </c>
      <c r="Q19" s="64">
        <f t="shared" si="7"/>
        <v>0</v>
      </c>
      <c r="R19" s="64">
        <f t="shared" si="7"/>
        <v>0</v>
      </c>
      <c r="S19" s="64">
        <f t="shared" si="7"/>
        <v>0</v>
      </c>
      <c r="T19" s="64">
        <f t="shared" si="7"/>
        <v>420</v>
      </c>
      <c r="U19" s="64">
        <f t="shared" si="7"/>
        <v>280</v>
      </c>
      <c r="V19" s="64">
        <f t="shared" si="7"/>
        <v>0</v>
      </c>
      <c r="W19" s="64">
        <f t="shared" si="7"/>
        <v>0</v>
      </c>
      <c r="X19" s="64">
        <f t="shared" si="7"/>
        <v>28</v>
      </c>
      <c r="Y19" s="64">
        <f t="shared" si="7"/>
        <v>900</v>
      </c>
      <c r="Z19" s="64">
        <f t="shared" si="7"/>
        <v>0</v>
      </c>
      <c r="AA19" s="64">
        <f t="shared" si="7"/>
        <v>0</v>
      </c>
      <c r="AB19" s="64">
        <f t="shared" si="7"/>
        <v>900</v>
      </c>
      <c r="AC19" s="64">
        <f t="shared" si="7"/>
        <v>0</v>
      </c>
      <c r="AD19" s="64">
        <f t="shared" si="7"/>
        <v>1500</v>
      </c>
      <c r="AE19" s="64">
        <f t="shared" si="7"/>
        <v>60</v>
      </c>
    </row>
    <row r="20" spans="1:31" ht="29.25" hidden="1" customHeight="1">
      <c r="A20" s="315" t="s">
        <v>306</v>
      </c>
      <c r="B20" s="316"/>
      <c r="C20" s="317"/>
      <c r="D20" s="361"/>
      <c r="E20" s="361"/>
      <c r="F20" s="361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62"/>
    </row>
    <row r="21" spans="1:31" ht="29.25" hidden="1" customHeight="1">
      <c r="A21" s="54">
        <v>11.3</v>
      </c>
      <c r="B21" s="17" t="s">
        <v>108</v>
      </c>
      <c r="C21" s="163" t="str">
        <f>"0912-7LEK-A"&amp;A21&amp;"-"&amp;UPPER(LEFT(B21,1))&amp;"F"</f>
        <v>0912-7LEK-A11,3-WF</v>
      </c>
      <c r="D21" s="311"/>
      <c r="E21" s="390"/>
      <c r="F21" s="426" t="s">
        <v>121</v>
      </c>
      <c r="G21" s="55"/>
      <c r="H21" s="55"/>
      <c r="I21" s="55">
        <v>0</v>
      </c>
      <c r="J21" s="55"/>
      <c r="K21" s="55"/>
      <c r="L21" s="55"/>
      <c r="M21" s="55"/>
      <c r="N21" s="55"/>
      <c r="O21" s="55">
        <v>0</v>
      </c>
      <c r="P21" s="56"/>
      <c r="Q21" s="56"/>
      <c r="R21" s="56"/>
      <c r="S21" s="56"/>
      <c r="T21" s="56"/>
      <c r="U21" s="56"/>
      <c r="V21" s="56"/>
      <c r="W21" s="56"/>
      <c r="X21" s="56">
        <v>0</v>
      </c>
      <c r="Y21" s="378">
        <f>SUM(G21,I21,K21,M21,P21,R21,T21,V21)</f>
        <v>0</v>
      </c>
      <c r="Z21" s="378">
        <f>SUM(G21,P21)</f>
        <v>0</v>
      </c>
      <c r="AA21" s="378">
        <f>SUM(I21,R21)</f>
        <v>0</v>
      </c>
      <c r="AB21" s="378">
        <f>SUM(K21,T21)</f>
        <v>0</v>
      </c>
      <c r="AC21" s="378">
        <f>SUM(M21,V21)</f>
        <v>0</v>
      </c>
      <c r="AD21" s="378">
        <f>SUM(G21:N21,P21:W21)</f>
        <v>0</v>
      </c>
      <c r="AE21" s="378">
        <f>SUM(O21,X21)</f>
        <v>0</v>
      </c>
    </row>
    <row r="22" spans="1:31" ht="29.25" hidden="1" customHeight="1">
      <c r="A22" s="486" t="s">
        <v>9</v>
      </c>
      <c r="B22" s="487"/>
      <c r="C22" s="487"/>
      <c r="D22" s="487"/>
      <c r="E22" s="487"/>
      <c r="F22" s="488"/>
      <c r="G22" s="64">
        <f>SUM(G21)</f>
        <v>0</v>
      </c>
      <c r="H22" s="64">
        <f>SUM(H21)</f>
        <v>0</v>
      </c>
      <c r="I22" s="64">
        <f>SUM(I21)</f>
        <v>0</v>
      </c>
      <c r="J22" s="64">
        <f t="shared" ref="J22:X22" si="8">SUM(J21:J21)</f>
        <v>0</v>
      </c>
      <c r="K22" s="64">
        <f t="shared" si="8"/>
        <v>0</v>
      </c>
      <c r="L22" s="64">
        <f t="shared" si="8"/>
        <v>0</v>
      </c>
      <c r="M22" s="64">
        <f t="shared" si="8"/>
        <v>0</v>
      </c>
      <c r="N22" s="64">
        <f t="shared" si="8"/>
        <v>0</v>
      </c>
      <c r="O22" s="64">
        <f t="shared" si="8"/>
        <v>0</v>
      </c>
      <c r="P22" s="64">
        <f t="shared" si="8"/>
        <v>0</v>
      </c>
      <c r="Q22" s="64">
        <f t="shared" si="8"/>
        <v>0</v>
      </c>
      <c r="R22" s="64">
        <f t="shared" si="8"/>
        <v>0</v>
      </c>
      <c r="S22" s="64">
        <f t="shared" si="8"/>
        <v>0</v>
      </c>
      <c r="T22" s="64">
        <f t="shared" si="8"/>
        <v>0</v>
      </c>
      <c r="U22" s="64">
        <f t="shared" si="8"/>
        <v>0</v>
      </c>
      <c r="V22" s="64">
        <f t="shared" si="8"/>
        <v>0</v>
      </c>
      <c r="W22" s="64">
        <f t="shared" si="8"/>
        <v>0</v>
      </c>
      <c r="X22" s="64">
        <f t="shared" si="8"/>
        <v>0</v>
      </c>
      <c r="Y22" s="64">
        <f t="shared" ref="Y22:AE22" si="9">SUM(Y21:Y21)</f>
        <v>0</v>
      </c>
      <c r="Z22" s="64">
        <f t="shared" si="9"/>
        <v>0</v>
      </c>
      <c r="AA22" s="64">
        <f t="shared" si="9"/>
        <v>0</v>
      </c>
      <c r="AB22" s="64">
        <f t="shared" si="9"/>
        <v>0</v>
      </c>
      <c r="AC22" s="64">
        <f t="shared" si="9"/>
        <v>0</v>
      </c>
      <c r="AD22" s="64">
        <f t="shared" si="9"/>
        <v>0</v>
      </c>
      <c r="AE22" s="64">
        <f t="shared" si="9"/>
        <v>0</v>
      </c>
    </row>
    <row r="23" spans="1:31" ht="19.5" customHeight="1">
      <c r="A23" s="601" t="s">
        <v>415</v>
      </c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  <c r="AE23" s="603"/>
    </row>
    <row r="24" spans="1:31" ht="34.5" customHeight="1">
      <c r="A24" s="427" t="s">
        <v>365</v>
      </c>
      <c r="B24" s="126" t="s">
        <v>253</v>
      </c>
      <c r="C24" s="310" t="s">
        <v>397</v>
      </c>
      <c r="D24" s="424"/>
      <c r="E24" s="426" t="s">
        <v>249</v>
      </c>
      <c r="F24" s="425"/>
      <c r="G24" s="55"/>
      <c r="H24" s="55"/>
      <c r="I24" s="55">
        <v>20</v>
      </c>
      <c r="J24" s="55">
        <v>5</v>
      </c>
      <c r="K24" s="55"/>
      <c r="L24" s="55"/>
      <c r="M24" s="55"/>
      <c r="N24" s="55"/>
      <c r="O24" s="55">
        <v>1</v>
      </c>
      <c r="P24" s="56"/>
      <c r="Q24" s="56"/>
      <c r="R24" s="56">
        <v>20</v>
      </c>
      <c r="S24" s="56">
        <v>30</v>
      </c>
      <c r="T24" s="56"/>
      <c r="U24" s="56"/>
      <c r="V24" s="56"/>
      <c r="W24" s="56"/>
      <c r="X24" s="56">
        <v>2</v>
      </c>
      <c r="Y24" s="43">
        <f>SUM(G24,I24,K24,M24,P24,R24,T24,V24)</f>
        <v>40</v>
      </c>
      <c r="Z24" s="43">
        <f>SUM(G24,P24)</f>
        <v>0</v>
      </c>
      <c r="AA24" s="43">
        <f>SUM(I24,R24)</f>
        <v>40</v>
      </c>
      <c r="AB24" s="43">
        <f>SUM(K24,T24)</f>
        <v>0</v>
      </c>
      <c r="AC24" s="43">
        <f>SUM(M24,V24)</f>
        <v>0</v>
      </c>
      <c r="AD24" s="43">
        <f>SUM(G24:M24,P24:W24,N24)</f>
        <v>75</v>
      </c>
      <c r="AE24" s="43">
        <f>SUM(O24,X24)</f>
        <v>3</v>
      </c>
    </row>
    <row r="25" spans="1:31" ht="17.25" customHeight="1" thickBot="1">
      <c r="A25" s="598" t="s">
        <v>9</v>
      </c>
      <c r="B25" s="599"/>
      <c r="C25" s="599"/>
      <c r="D25" s="599"/>
      <c r="E25" s="599"/>
      <c r="F25" s="600"/>
      <c r="G25" s="428">
        <f t="shared" ref="G25:AE25" si="10">SUM(G24:G24)</f>
        <v>0</v>
      </c>
      <c r="H25" s="428">
        <f t="shared" si="10"/>
        <v>0</v>
      </c>
      <c r="I25" s="428">
        <f t="shared" si="10"/>
        <v>20</v>
      </c>
      <c r="J25" s="428">
        <f t="shared" si="10"/>
        <v>5</v>
      </c>
      <c r="K25" s="428">
        <f t="shared" si="10"/>
        <v>0</v>
      </c>
      <c r="L25" s="428">
        <f t="shared" si="10"/>
        <v>0</v>
      </c>
      <c r="M25" s="428">
        <f t="shared" si="10"/>
        <v>0</v>
      </c>
      <c r="N25" s="428">
        <f t="shared" si="10"/>
        <v>0</v>
      </c>
      <c r="O25" s="428">
        <f t="shared" si="10"/>
        <v>1</v>
      </c>
      <c r="P25" s="428">
        <f t="shared" si="10"/>
        <v>0</v>
      </c>
      <c r="Q25" s="428">
        <f t="shared" si="10"/>
        <v>0</v>
      </c>
      <c r="R25" s="428">
        <f t="shared" si="10"/>
        <v>20</v>
      </c>
      <c r="S25" s="428">
        <f t="shared" si="10"/>
        <v>30</v>
      </c>
      <c r="T25" s="428">
        <f t="shared" si="10"/>
        <v>0</v>
      </c>
      <c r="U25" s="428">
        <f t="shared" si="10"/>
        <v>0</v>
      </c>
      <c r="V25" s="428">
        <f t="shared" si="10"/>
        <v>0</v>
      </c>
      <c r="W25" s="428">
        <f t="shared" si="10"/>
        <v>0</v>
      </c>
      <c r="X25" s="428">
        <f t="shared" si="10"/>
        <v>2</v>
      </c>
      <c r="Y25" s="428">
        <f t="shared" si="10"/>
        <v>40</v>
      </c>
      <c r="Z25" s="428">
        <f t="shared" si="10"/>
        <v>0</v>
      </c>
      <c r="AA25" s="428">
        <f t="shared" si="10"/>
        <v>40</v>
      </c>
      <c r="AB25" s="428">
        <f t="shared" si="10"/>
        <v>0</v>
      </c>
      <c r="AC25" s="428">
        <f t="shared" si="10"/>
        <v>0</v>
      </c>
      <c r="AD25" s="428">
        <f t="shared" si="10"/>
        <v>75</v>
      </c>
      <c r="AE25" s="428">
        <f t="shared" si="10"/>
        <v>3</v>
      </c>
    </row>
    <row r="26" spans="1:31" ht="26.25" customHeight="1">
      <c r="A26" s="595" t="s">
        <v>251</v>
      </c>
      <c r="B26" s="596"/>
      <c r="C26" s="596"/>
      <c r="D26" s="596"/>
      <c r="E26" s="596"/>
      <c r="F26" s="597"/>
      <c r="G26" s="429">
        <f t="shared" ref="G26:AE26" si="11">G19+G22+G25</f>
        <v>0</v>
      </c>
      <c r="H26" s="429">
        <f t="shared" si="11"/>
        <v>0</v>
      </c>
      <c r="I26" s="429">
        <f t="shared" si="11"/>
        <v>20</v>
      </c>
      <c r="J26" s="429">
        <f t="shared" si="11"/>
        <v>5</v>
      </c>
      <c r="K26" s="429">
        <f t="shared" si="11"/>
        <v>480</v>
      </c>
      <c r="L26" s="429">
        <f t="shared" si="11"/>
        <v>320</v>
      </c>
      <c r="M26" s="429">
        <f t="shared" si="11"/>
        <v>0</v>
      </c>
      <c r="N26" s="429">
        <f t="shared" si="11"/>
        <v>0</v>
      </c>
      <c r="O26" s="429">
        <f t="shared" si="11"/>
        <v>33</v>
      </c>
      <c r="P26" s="429">
        <f t="shared" si="11"/>
        <v>0</v>
      </c>
      <c r="Q26" s="429">
        <f t="shared" si="11"/>
        <v>0</v>
      </c>
      <c r="R26" s="429">
        <f t="shared" si="11"/>
        <v>20</v>
      </c>
      <c r="S26" s="429">
        <f t="shared" si="11"/>
        <v>30</v>
      </c>
      <c r="T26" s="429">
        <f t="shared" si="11"/>
        <v>420</v>
      </c>
      <c r="U26" s="429">
        <f t="shared" si="11"/>
        <v>280</v>
      </c>
      <c r="V26" s="429">
        <f t="shared" si="11"/>
        <v>0</v>
      </c>
      <c r="W26" s="429">
        <f t="shared" si="11"/>
        <v>0</v>
      </c>
      <c r="X26" s="429">
        <f t="shared" si="11"/>
        <v>30</v>
      </c>
      <c r="Y26" s="429">
        <f t="shared" si="11"/>
        <v>940</v>
      </c>
      <c r="Z26" s="429">
        <f t="shared" si="11"/>
        <v>0</v>
      </c>
      <c r="AA26" s="429">
        <f t="shared" si="11"/>
        <v>40</v>
      </c>
      <c r="AB26" s="429">
        <f t="shared" si="11"/>
        <v>900</v>
      </c>
      <c r="AC26" s="429">
        <f t="shared" si="11"/>
        <v>0</v>
      </c>
      <c r="AD26" s="429">
        <f t="shared" si="11"/>
        <v>1575</v>
      </c>
      <c r="AE26" s="429">
        <f t="shared" si="11"/>
        <v>63</v>
      </c>
    </row>
    <row r="27" spans="1:31">
      <c r="A27" s="383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</row>
    <row r="28" spans="1:3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</row>
    <row r="29" spans="1:3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</row>
    <row r="30" spans="1:31">
      <c r="A30" s="38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</row>
    <row r="31" spans="1:31" ht="20.25" customHeight="1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</row>
    <row r="32" spans="1:31" ht="16.5" customHeight="1">
      <c r="A32" s="383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</row>
    <row r="33" spans="1:31" ht="125.25" customHeight="1">
      <c r="A33" s="383"/>
      <c r="B33" s="479" t="s">
        <v>252</v>
      </c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383"/>
      <c r="Q33" s="383"/>
      <c r="R33" s="430" t="s">
        <v>123</v>
      </c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</row>
  </sheetData>
  <mergeCells count="38">
    <mergeCell ref="B33:O33"/>
    <mergeCell ref="A23:AE23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Z6:Z9"/>
    <mergeCell ref="M8:N8"/>
    <mergeCell ref="R8:S8"/>
    <mergeCell ref="T8:U8"/>
    <mergeCell ref="V8:W8"/>
    <mergeCell ref="X8:X9"/>
    <mergeCell ref="A19:F19"/>
    <mergeCell ref="A26:F26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A25:F25"/>
    <mergeCell ref="A22:F22"/>
    <mergeCell ref="K8:L8"/>
    <mergeCell ref="Y6:Y9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84" customWidth="1"/>
    <col min="2" max="2" width="45.7109375" style="84" customWidth="1"/>
    <col min="3" max="3" width="24" style="133" customWidth="1"/>
    <col min="4" max="4" width="11.140625" style="90" customWidth="1"/>
    <col min="5" max="5" width="7.28515625" style="83" customWidth="1"/>
    <col min="6" max="9" width="5.28515625" style="83" customWidth="1"/>
    <col min="10" max="10" width="9.140625" style="83" customWidth="1"/>
    <col min="11" max="11" width="6.85546875" style="83" customWidth="1"/>
    <col min="12" max="12" width="31.140625" style="84" customWidth="1"/>
    <col min="13" max="13" width="17.7109375" style="84" customWidth="1"/>
    <col min="14" max="16384" width="9.140625" style="84"/>
  </cols>
  <sheetData>
    <row r="1" spans="1:51" ht="66.75" customHeight="1">
      <c r="A1" s="608" t="s">
        <v>259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51" ht="30.75" customHeight="1">
      <c r="A2" s="627" t="s">
        <v>256</v>
      </c>
      <c r="B2" s="627"/>
      <c r="C2" s="138" t="s">
        <v>257</v>
      </c>
      <c r="D2" s="139"/>
      <c r="E2" s="140"/>
      <c r="F2" s="140"/>
      <c r="G2" s="140"/>
      <c r="H2" s="141"/>
      <c r="I2" s="141"/>
      <c r="J2" s="141"/>
      <c r="K2" s="141"/>
      <c r="L2" s="137"/>
      <c r="M2" s="137"/>
      <c r="N2" s="137"/>
      <c r="O2" s="137"/>
      <c r="P2" s="13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51" ht="23.25" customHeight="1">
      <c r="A3" s="627" t="s">
        <v>258</v>
      </c>
      <c r="B3" s="627"/>
      <c r="C3" s="142"/>
      <c r="D3" s="143"/>
      <c r="E3" s="143"/>
      <c r="F3" s="143"/>
      <c r="G3" s="143"/>
      <c r="H3" s="143"/>
      <c r="I3" s="143"/>
      <c r="J3" s="143"/>
      <c r="K3" s="14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51" ht="63.75" customHeight="1">
      <c r="A4" s="75" t="s">
        <v>0</v>
      </c>
      <c r="B4" s="74" t="s">
        <v>4</v>
      </c>
      <c r="C4" s="71" t="s">
        <v>1</v>
      </c>
      <c r="D4" s="91" t="s">
        <v>240</v>
      </c>
      <c r="E4" s="62" t="s">
        <v>5</v>
      </c>
      <c r="F4" s="62" t="s">
        <v>89</v>
      </c>
      <c r="G4" s="62" t="s">
        <v>88</v>
      </c>
      <c r="H4" s="62" t="s">
        <v>94</v>
      </c>
      <c r="I4" s="62" t="s">
        <v>90</v>
      </c>
      <c r="J4" s="62" t="s">
        <v>14</v>
      </c>
      <c r="K4" s="62" t="s">
        <v>6</v>
      </c>
    </row>
    <row r="5" spans="1:51" ht="15" customHeight="1">
      <c r="A5" s="146" t="s">
        <v>22</v>
      </c>
      <c r="B5" s="78"/>
      <c r="C5" s="131"/>
      <c r="D5" s="98"/>
      <c r="E5" s="99"/>
      <c r="F5" s="99"/>
      <c r="G5" s="99"/>
      <c r="H5" s="99"/>
      <c r="I5" s="100"/>
      <c r="J5" s="100"/>
      <c r="K5" s="145"/>
      <c r="L5" s="76"/>
      <c r="M5" s="76"/>
      <c r="N5" s="76"/>
      <c r="O5" s="76"/>
    </row>
    <row r="6" spans="1:51" ht="18.75" customHeight="1">
      <c r="A6" s="69">
        <v>1.1000000000000001</v>
      </c>
      <c r="B6" s="93" t="s">
        <v>18</v>
      </c>
      <c r="C6" s="66" t="str">
        <f>"0912-7LEK-B"&amp;A6&amp;"-"&amp;UPPER(LEFT(B6,1))</f>
        <v>0912-7LEK-B1.1-A</v>
      </c>
      <c r="D6" s="94" t="s">
        <v>236</v>
      </c>
      <c r="E6" s="95">
        <v>225</v>
      </c>
      <c r="F6" s="95">
        <v>75</v>
      </c>
      <c r="G6" s="95">
        <v>60</v>
      </c>
      <c r="H6" s="95">
        <v>90</v>
      </c>
      <c r="I6" s="63">
        <v>0</v>
      </c>
      <c r="J6" s="103">
        <v>425</v>
      </c>
      <c r="K6" s="103">
        <v>17</v>
      </c>
      <c r="L6" s="134"/>
      <c r="M6" s="76"/>
      <c r="N6" s="76"/>
      <c r="O6" s="76"/>
    </row>
    <row r="7" spans="1:51" ht="18.75" customHeight="1">
      <c r="A7" s="68">
        <v>1.2</v>
      </c>
      <c r="B7" s="70" t="s">
        <v>20</v>
      </c>
      <c r="C7" s="7" t="str">
        <f>"0912-7LEK-B"&amp;A7&amp;"-"&amp;UPPER(LEFT(B7,1))</f>
        <v>0912-7LEK-B1.2-H</v>
      </c>
      <c r="D7" s="80" t="s">
        <v>236</v>
      </c>
      <c r="E7" s="81">
        <v>105</v>
      </c>
      <c r="F7" s="81">
        <v>35</v>
      </c>
      <c r="G7" s="81">
        <v>35</v>
      </c>
      <c r="H7" s="81">
        <v>35</v>
      </c>
      <c r="I7" s="77">
        <v>0</v>
      </c>
      <c r="J7" s="104">
        <v>250</v>
      </c>
      <c r="K7" s="104">
        <v>10</v>
      </c>
      <c r="L7" s="76"/>
      <c r="M7" s="76"/>
      <c r="N7" s="76"/>
      <c r="O7" s="76"/>
    </row>
    <row r="8" spans="1:51">
      <c r="A8" s="612" t="s">
        <v>9</v>
      </c>
      <c r="B8" s="613"/>
      <c r="C8" s="613"/>
      <c r="D8" s="614"/>
      <c r="E8" s="92">
        <f>SUM(E6:E7)</f>
        <v>330</v>
      </c>
      <c r="F8" s="92">
        <f t="shared" ref="F8:K8" si="0">SUM(F6:F7)</f>
        <v>110</v>
      </c>
      <c r="G8" s="92">
        <f t="shared" si="0"/>
        <v>95</v>
      </c>
      <c r="H8" s="92">
        <f t="shared" si="0"/>
        <v>125</v>
      </c>
      <c r="I8" s="92">
        <f t="shared" si="0"/>
        <v>0</v>
      </c>
      <c r="J8" s="92">
        <f t="shared" si="0"/>
        <v>675</v>
      </c>
      <c r="K8" s="92">
        <f t="shared" si="0"/>
        <v>27</v>
      </c>
      <c r="L8" s="76"/>
      <c r="M8" s="76"/>
      <c r="N8" s="76"/>
      <c r="O8" s="76"/>
    </row>
    <row r="9" spans="1:51">
      <c r="A9" s="605" t="s">
        <v>23</v>
      </c>
      <c r="B9" s="606"/>
      <c r="C9" s="606"/>
      <c r="D9" s="606"/>
      <c r="E9" s="606"/>
      <c r="F9" s="606"/>
      <c r="G9" s="606"/>
      <c r="H9" s="606"/>
      <c r="I9" s="606"/>
      <c r="J9" s="606"/>
      <c r="K9" s="607"/>
    </row>
    <row r="10" spans="1:51" ht="18.75" customHeight="1">
      <c r="A10" s="69">
        <v>2.1</v>
      </c>
      <c r="B10" s="93" t="s">
        <v>35</v>
      </c>
      <c r="C10" s="66" t="str">
        <f>"0912-7LEK-B"&amp;A10&amp;"-"&amp;UPPER(LEFT(B10,1))&amp;"f"</f>
        <v>0912-7LEK-B2.1-Bf</v>
      </c>
      <c r="D10" s="94">
        <v>4</v>
      </c>
      <c r="E10" s="95">
        <v>50</v>
      </c>
      <c r="F10" s="95">
        <v>20</v>
      </c>
      <c r="G10" s="95">
        <v>15</v>
      </c>
      <c r="H10" s="95">
        <v>0</v>
      </c>
      <c r="I10" s="95">
        <v>15</v>
      </c>
      <c r="J10" s="95">
        <v>75</v>
      </c>
      <c r="K10" s="95">
        <v>3</v>
      </c>
    </row>
    <row r="11" spans="1:51" ht="18.75" customHeight="1">
      <c r="A11" s="68">
        <v>2.2000000000000002</v>
      </c>
      <c r="B11" s="70" t="s">
        <v>36</v>
      </c>
      <c r="C11" s="7" t="str">
        <f>"0912-7LEK-B"&amp;A11&amp;"-"&amp;UPPER(LEFT(B11,1))&amp;"BK"</f>
        <v>0912-7LEK-B2.2-PBK</v>
      </c>
      <c r="D11" s="80">
        <v>2</v>
      </c>
      <c r="E11" s="81">
        <v>60</v>
      </c>
      <c r="F11" s="81">
        <v>30</v>
      </c>
      <c r="G11" s="81">
        <v>0</v>
      </c>
      <c r="H11" s="81">
        <v>0</v>
      </c>
      <c r="I11" s="81">
        <v>30</v>
      </c>
      <c r="J11" s="81">
        <v>100</v>
      </c>
      <c r="K11" s="81">
        <v>4</v>
      </c>
    </row>
    <row r="12" spans="1:51" ht="15.75">
      <c r="A12" s="68">
        <v>2.2999999999999998</v>
      </c>
      <c r="B12" s="70" t="s">
        <v>37</v>
      </c>
      <c r="C12" s="7" t="str">
        <f>"0912-7LEK-B"&amp;A12&amp;"-"&amp;UPPER(LEFT(B12,1))</f>
        <v>0912-7LEK-B2.3-C</v>
      </c>
      <c r="D12" s="80">
        <v>1</v>
      </c>
      <c r="E12" s="81">
        <v>35</v>
      </c>
      <c r="F12" s="81">
        <v>15</v>
      </c>
      <c r="G12" s="81">
        <v>0</v>
      </c>
      <c r="H12" s="81">
        <v>0</v>
      </c>
      <c r="I12" s="81">
        <v>20</v>
      </c>
      <c r="J12" s="81">
        <v>75</v>
      </c>
      <c r="K12" s="81">
        <v>3</v>
      </c>
    </row>
    <row r="13" spans="1:51" ht="18.75" customHeight="1">
      <c r="A13" s="68">
        <v>2.4</v>
      </c>
      <c r="B13" s="86" t="s">
        <v>38</v>
      </c>
      <c r="C13" s="7" t="str">
        <f>"0912-7LEK-B"&amp;A13&amp;"-"&amp;UPPER(LEFT(B13,1))&amp;"ch"</f>
        <v>0912-7LEK-B2.4-Bch</v>
      </c>
      <c r="D13" s="80">
        <v>3</v>
      </c>
      <c r="E13" s="81">
        <v>60</v>
      </c>
      <c r="F13" s="81">
        <v>30</v>
      </c>
      <c r="G13" s="81">
        <v>0</v>
      </c>
      <c r="H13" s="81">
        <v>0</v>
      </c>
      <c r="I13" s="81">
        <v>30</v>
      </c>
      <c r="J13" s="81">
        <v>125</v>
      </c>
      <c r="K13" s="81">
        <v>5</v>
      </c>
      <c r="U13" s="510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/>
      <c r="AX13" s="511"/>
      <c r="AY13" s="511"/>
    </row>
    <row r="14" spans="1:51" ht="18.75" customHeight="1">
      <c r="A14" s="68">
        <v>2.5</v>
      </c>
      <c r="B14" s="70" t="s">
        <v>39</v>
      </c>
      <c r="C14" s="7" t="str">
        <f>"0912-7LEK-B"&amp;A14&amp;"-"&amp;UPPER(LEFT(B14,1))&amp;"zC"</f>
        <v>0912-7LEK-B2.5-FzC</v>
      </c>
      <c r="D14" s="80" t="s">
        <v>247</v>
      </c>
      <c r="E14" s="81">
        <v>160</v>
      </c>
      <c r="F14" s="81">
        <v>50</v>
      </c>
      <c r="G14" s="81">
        <v>50</v>
      </c>
      <c r="H14" s="81">
        <v>0</v>
      </c>
      <c r="I14" s="81">
        <v>60</v>
      </c>
      <c r="J14" s="81">
        <v>350</v>
      </c>
      <c r="K14" s="81">
        <v>14</v>
      </c>
      <c r="U14" s="524"/>
      <c r="V14" s="524"/>
      <c r="W14" s="49"/>
      <c r="X14" s="10"/>
      <c r="Y14" s="47"/>
      <c r="Z14" s="47"/>
      <c r="AA14" s="47"/>
      <c r="AB14" s="526"/>
      <c r="AC14" s="526"/>
      <c r="AD14" s="526"/>
      <c r="AE14" s="526"/>
      <c r="AF14" s="526"/>
      <c r="AG14" s="526"/>
      <c r="AH14" s="526"/>
      <c r="AI14" s="526"/>
      <c r="AJ14" s="52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23.25">
      <c r="A15" s="68">
        <v>2.6</v>
      </c>
      <c r="B15" s="70" t="s">
        <v>40</v>
      </c>
      <c r="C15" s="7" t="str">
        <f>"0912-7LEK-B"&amp;A15&amp;"-"&amp;UPPER(LEFT(B15,1))&amp;""</f>
        <v>0912-7LEK-B2.6-P</v>
      </c>
      <c r="D15" s="80" t="s">
        <v>248</v>
      </c>
      <c r="E15" s="81">
        <v>90</v>
      </c>
      <c r="F15" s="81">
        <v>40</v>
      </c>
      <c r="G15" s="81">
        <v>50</v>
      </c>
      <c r="H15" s="81">
        <v>0</v>
      </c>
      <c r="I15" s="81">
        <v>0</v>
      </c>
      <c r="J15" s="81">
        <v>175</v>
      </c>
      <c r="K15" s="81">
        <v>7</v>
      </c>
      <c r="U15" s="525"/>
      <c r="V15" s="525"/>
      <c r="W15" s="50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18.75" customHeight="1">
      <c r="A16" s="68">
        <v>2.7</v>
      </c>
      <c r="B16" s="70" t="s">
        <v>93</v>
      </c>
      <c r="C16" s="7" t="str">
        <f>"0912-7LEK-B"&amp;A16&amp;"-"&amp;UPPER(LEFT(B16,1))&amp;"zI"</f>
        <v>0912-7LEK-B2.7-BzI</v>
      </c>
      <c r="D16" s="80" t="s">
        <v>236</v>
      </c>
      <c r="E16" s="81">
        <v>80</v>
      </c>
      <c r="F16" s="81">
        <v>30</v>
      </c>
      <c r="G16" s="81">
        <v>50</v>
      </c>
      <c r="H16" s="81">
        <v>0</v>
      </c>
      <c r="I16" s="81">
        <v>0</v>
      </c>
      <c r="J16" s="81">
        <v>125</v>
      </c>
      <c r="K16" s="81">
        <v>5</v>
      </c>
    </row>
    <row r="17" spans="1:11" ht="18.75" customHeight="1">
      <c r="A17" s="68">
        <v>2.8</v>
      </c>
      <c r="B17" s="70" t="s">
        <v>91</v>
      </c>
      <c r="C17" s="7" t="str">
        <f>"0912-7LEK-B"&amp;A17&amp;"-"&amp;UPPER(LEFT(B17,1))&amp;"P"</f>
        <v>0912-7LEK-B2.8-PP</v>
      </c>
      <c r="D17" s="80">
        <v>2</v>
      </c>
      <c r="E17" s="81">
        <v>35</v>
      </c>
      <c r="F17" s="81">
        <v>0</v>
      </c>
      <c r="G17" s="81">
        <v>15</v>
      </c>
      <c r="H17" s="81">
        <v>20</v>
      </c>
      <c r="I17" s="81">
        <v>0</v>
      </c>
      <c r="J17" s="81">
        <v>50</v>
      </c>
      <c r="K17" s="81">
        <v>2</v>
      </c>
    </row>
    <row r="18" spans="1:11">
      <c r="A18" s="612" t="s">
        <v>9</v>
      </c>
      <c r="B18" s="613"/>
      <c r="C18" s="613"/>
      <c r="D18" s="614"/>
      <c r="E18" s="92">
        <f>SUM(E10:E17)</f>
        <v>570</v>
      </c>
      <c r="F18" s="92">
        <f t="shared" ref="F18:K18" si="1">SUM(F10:F17)</f>
        <v>215</v>
      </c>
      <c r="G18" s="92">
        <f t="shared" si="1"/>
        <v>180</v>
      </c>
      <c r="H18" s="92">
        <f t="shared" si="1"/>
        <v>20</v>
      </c>
      <c r="I18" s="92">
        <f t="shared" si="1"/>
        <v>155</v>
      </c>
      <c r="J18" s="92">
        <f t="shared" si="1"/>
        <v>1075</v>
      </c>
      <c r="K18" s="92">
        <f t="shared" si="1"/>
        <v>43</v>
      </c>
    </row>
    <row r="19" spans="1:11">
      <c r="A19" s="605" t="s">
        <v>24</v>
      </c>
      <c r="B19" s="606"/>
      <c r="C19" s="606"/>
      <c r="D19" s="606"/>
      <c r="E19" s="606"/>
      <c r="F19" s="606"/>
      <c r="G19" s="606"/>
      <c r="H19" s="606"/>
      <c r="I19" s="606"/>
      <c r="J19" s="606"/>
      <c r="K19" s="607"/>
    </row>
    <row r="20" spans="1:11" ht="15.75">
      <c r="A20" s="69">
        <v>3.1</v>
      </c>
      <c r="B20" s="93" t="s">
        <v>41</v>
      </c>
      <c r="C20" s="66" t="str">
        <f t="shared" ref="C20:C25" si="2">"0912-7LEK-C"&amp;A20&amp;"-"&amp;UPPER(LEFT(B20,1))</f>
        <v>0912-7LEK-C3.1-G</v>
      </c>
      <c r="D20" s="94">
        <v>3</v>
      </c>
      <c r="E20" s="95">
        <v>45</v>
      </c>
      <c r="F20" s="95">
        <v>15</v>
      </c>
      <c r="G20" s="95">
        <v>30</v>
      </c>
      <c r="H20" s="95">
        <v>0</v>
      </c>
      <c r="I20" s="95">
        <v>0</v>
      </c>
      <c r="J20" s="95">
        <v>100</v>
      </c>
      <c r="K20" s="95">
        <v>4</v>
      </c>
    </row>
    <row r="21" spans="1:11" ht="15.75">
      <c r="A21" s="68">
        <v>3.2</v>
      </c>
      <c r="B21" s="70" t="s">
        <v>42</v>
      </c>
      <c r="C21" s="7" t="str">
        <f t="shared" si="2"/>
        <v>0912-7LEK-C3.2-M</v>
      </c>
      <c r="D21" s="80" t="s">
        <v>247</v>
      </c>
      <c r="E21" s="81">
        <v>100</v>
      </c>
      <c r="F21" s="81">
        <v>20</v>
      </c>
      <c r="G21" s="81">
        <v>40</v>
      </c>
      <c r="H21" s="81">
        <v>0</v>
      </c>
      <c r="I21" s="81">
        <v>40</v>
      </c>
      <c r="J21" s="81">
        <v>200</v>
      </c>
      <c r="K21" s="81">
        <v>8</v>
      </c>
    </row>
    <row r="22" spans="1:11" ht="15.75">
      <c r="A22" s="68">
        <v>3.3</v>
      </c>
      <c r="B22" s="70" t="s">
        <v>43</v>
      </c>
      <c r="C22" s="7" t="str">
        <f t="shared" si="2"/>
        <v>0912-7LEK-C3.3-P</v>
      </c>
      <c r="D22" s="80">
        <v>4</v>
      </c>
      <c r="E22" s="81">
        <v>45</v>
      </c>
      <c r="F22" s="81">
        <v>15</v>
      </c>
      <c r="G22" s="81">
        <v>15</v>
      </c>
      <c r="H22" s="81">
        <v>0</v>
      </c>
      <c r="I22" s="81">
        <v>15</v>
      </c>
      <c r="J22" s="81">
        <v>75</v>
      </c>
      <c r="K22" s="81">
        <v>3</v>
      </c>
    </row>
    <row r="23" spans="1:11" ht="15.75">
      <c r="A23" s="68">
        <v>3.4</v>
      </c>
      <c r="B23" s="70" t="s">
        <v>44</v>
      </c>
      <c r="C23" s="7" t="str">
        <f t="shared" si="2"/>
        <v>0912-7LEK-C3.4-I</v>
      </c>
      <c r="D23" s="80" t="s">
        <v>239</v>
      </c>
      <c r="E23" s="81">
        <v>45</v>
      </c>
      <c r="F23" s="81">
        <v>15</v>
      </c>
      <c r="G23" s="81">
        <v>10</v>
      </c>
      <c r="H23" s="81">
        <v>0</v>
      </c>
      <c r="I23" s="81">
        <v>20</v>
      </c>
      <c r="J23" s="81">
        <v>75</v>
      </c>
      <c r="K23" s="81">
        <v>3</v>
      </c>
    </row>
    <row r="24" spans="1:11" ht="15.75">
      <c r="A24" s="68">
        <v>3.5</v>
      </c>
      <c r="B24" s="70" t="s">
        <v>45</v>
      </c>
      <c r="C24" s="7" t="str">
        <f t="shared" si="2"/>
        <v>0912-7LEK-C3.5-P</v>
      </c>
      <c r="D24" s="80" t="s">
        <v>248</v>
      </c>
      <c r="E24" s="81">
        <v>135</v>
      </c>
      <c r="F24" s="81">
        <v>45</v>
      </c>
      <c r="G24" s="81">
        <v>90</v>
      </c>
      <c r="H24" s="81">
        <v>0</v>
      </c>
      <c r="I24" s="81">
        <v>0</v>
      </c>
      <c r="J24" s="81">
        <v>275</v>
      </c>
      <c r="K24" s="81">
        <v>11</v>
      </c>
    </row>
    <row r="25" spans="1:11" ht="15.75">
      <c r="A25" s="68">
        <v>3.6</v>
      </c>
      <c r="B25" s="70" t="s">
        <v>46</v>
      </c>
      <c r="C25" s="7" t="str">
        <f t="shared" si="2"/>
        <v>0912-7LEK-C3.6-F</v>
      </c>
      <c r="D25" s="80" t="s">
        <v>248</v>
      </c>
      <c r="E25" s="81">
        <v>130</v>
      </c>
      <c r="F25" s="81">
        <v>50</v>
      </c>
      <c r="G25" s="81">
        <v>80</v>
      </c>
      <c r="H25" s="81">
        <v>0</v>
      </c>
      <c r="I25" s="81">
        <v>0</v>
      </c>
      <c r="J25" s="81">
        <v>250</v>
      </c>
      <c r="K25" s="81">
        <v>10</v>
      </c>
    </row>
    <row r="26" spans="1:11">
      <c r="A26" s="612" t="s">
        <v>9</v>
      </c>
      <c r="B26" s="613"/>
      <c r="C26" s="613"/>
      <c r="D26" s="614"/>
      <c r="E26" s="92">
        <f>SUM(E20:E25)</f>
        <v>500</v>
      </c>
      <c r="F26" s="92">
        <f t="shared" ref="F26:K26" si="3">SUM(F20:F25)</f>
        <v>160</v>
      </c>
      <c r="G26" s="92">
        <f t="shared" si="3"/>
        <v>265</v>
      </c>
      <c r="H26" s="92">
        <f t="shared" si="3"/>
        <v>0</v>
      </c>
      <c r="I26" s="92">
        <f t="shared" si="3"/>
        <v>75</v>
      </c>
      <c r="J26" s="92">
        <f t="shared" si="3"/>
        <v>975</v>
      </c>
      <c r="K26" s="92">
        <f t="shared" si="3"/>
        <v>39</v>
      </c>
    </row>
    <row r="27" spans="1:11">
      <c r="A27" s="605" t="s">
        <v>34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7"/>
    </row>
    <row r="28" spans="1:11" ht="15.75">
      <c r="A28" s="65">
        <v>4.0999999999999996</v>
      </c>
      <c r="B28" s="93" t="s">
        <v>47</v>
      </c>
      <c r="C28" s="66" t="str">
        <f>"0912-7LEK-B"&amp;A28&amp;"-"&amp;UPPER(LEFT(B28,1))</f>
        <v>0912-7LEK-B4.1-S</v>
      </c>
      <c r="D28" s="94">
        <v>2</v>
      </c>
      <c r="E28" s="95">
        <v>15</v>
      </c>
      <c r="F28" s="95">
        <v>15</v>
      </c>
      <c r="G28" s="95">
        <v>0</v>
      </c>
      <c r="H28" s="95">
        <v>0</v>
      </c>
      <c r="I28" s="95">
        <v>0</v>
      </c>
      <c r="J28" s="95">
        <v>25</v>
      </c>
      <c r="K28" s="95">
        <v>1</v>
      </c>
    </row>
    <row r="29" spans="1:11" ht="15.75">
      <c r="A29" s="68">
        <v>4.2</v>
      </c>
      <c r="B29" s="70" t="s">
        <v>48</v>
      </c>
      <c r="C29" s="7" t="str">
        <f>"0912-7LEK-B"&amp;A29&amp;"-"&amp;UPPER(LEFT(B29,1))</f>
        <v>0912-7LEK-B4.2-P</v>
      </c>
      <c r="D29" s="80">
        <v>2</v>
      </c>
      <c r="E29" s="81">
        <v>15</v>
      </c>
      <c r="F29" s="81">
        <v>15</v>
      </c>
      <c r="G29" s="81">
        <v>0</v>
      </c>
      <c r="H29" s="81">
        <v>0</v>
      </c>
      <c r="I29" s="81">
        <v>0</v>
      </c>
      <c r="J29" s="81">
        <v>25</v>
      </c>
      <c r="K29" s="81">
        <v>1</v>
      </c>
    </row>
    <row r="30" spans="1:11" ht="15.75">
      <c r="A30" s="3">
        <v>4.3</v>
      </c>
      <c r="B30" s="70" t="s">
        <v>49</v>
      </c>
      <c r="C30" s="7" t="str">
        <f>"0912-7LEK-B"&amp;A30&amp;"-"&amp;UPPER(LEFT(B30,1))</f>
        <v>0912-7LEK-B4.3-E</v>
      </c>
      <c r="D30" s="80">
        <v>1</v>
      </c>
      <c r="E30" s="81">
        <v>15</v>
      </c>
      <c r="F30" s="81">
        <v>15</v>
      </c>
      <c r="G30" s="81">
        <v>0</v>
      </c>
      <c r="H30" s="81">
        <v>0</v>
      </c>
      <c r="I30" s="81">
        <v>0</v>
      </c>
      <c r="J30" s="81">
        <v>25</v>
      </c>
      <c r="K30" s="81">
        <v>1</v>
      </c>
    </row>
    <row r="31" spans="1:11" ht="15.75">
      <c r="A31" s="68">
        <v>4.4000000000000004</v>
      </c>
      <c r="B31" s="70" t="s">
        <v>92</v>
      </c>
      <c r="C31" s="7" t="str">
        <f>"0912-7LEK-B"&amp;A31&amp;"-"&amp;UPPER(LEFT(B31,1))</f>
        <v>0912-7LEK-B4.4-E</v>
      </c>
      <c r="D31" s="80">
        <v>1</v>
      </c>
      <c r="E31" s="81">
        <v>15</v>
      </c>
      <c r="F31" s="81">
        <v>15</v>
      </c>
      <c r="G31" s="81">
        <v>0</v>
      </c>
      <c r="H31" s="81">
        <v>0</v>
      </c>
      <c r="I31" s="81">
        <v>0</v>
      </c>
      <c r="J31" s="81">
        <v>25</v>
      </c>
      <c r="K31" s="81">
        <v>1</v>
      </c>
    </row>
    <row r="32" spans="1:11" ht="15.75">
      <c r="A32" s="65">
        <v>4.5</v>
      </c>
      <c r="B32" s="70" t="s">
        <v>50</v>
      </c>
      <c r="C32" s="7" t="str">
        <f>"0912-7LEK-B"&amp;A32&amp;"-"&amp;UPPER(LEFT(B32,1))</f>
        <v>0912-7LEK-B4.5-H</v>
      </c>
      <c r="D32" s="80" t="s">
        <v>237</v>
      </c>
      <c r="E32" s="81">
        <v>30</v>
      </c>
      <c r="F32" s="81">
        <v>30</v>
      </c>
      <c r="G32" s="81">
        <v>0</v>
      </c>
      <c r="H32" s="81">
        <v>0</v>
      </c>
      <c r="I32" s="81">
        <v>0</v>
      </c>
      <c r="J32" s="81">
        <v>0</v>
      </c>
      <c r="K32" s="81">
        <v>1</v>
      </c>
    </row>
    <row r="33" spans="1:11">
      <c r="A33" s="612" t="s">
        <v>9</v>
      </c>
      <c r="B33" s="613"/>
      <c r="C33" s="613"/>
      <c r="D33" s="614"/>
      <c r="E33" s="92">
        <f t="shared" ref="E33:K33" si="4">SUM(E28:E32)</f>
        <v>90</v>
      </c>
      <c r="F33" s="92">
        <f t="shared" si="4"/>
        <v>90</v>
      </c>
      <c r="G33" s="92">
        <f t="shared" si="4"/>
        <v>0</v>
      </c>
      <c r="H33" s="92">
        <f t="shared" si="4"/>
        <v>0</v>
      </c>
      <c r="I33" s="92">
        <f t="shared" si="4"/>
        <v>0</v>
      </c>
      <c r="J33" s="92">
        <f t="shared" si="4"/>
        <v>100</v>
      </c>
      <c r="K33" s="92">
        <f t="shared" si="4"/>
        <v>5</v>
      </c>
    </row>
    <row r="34" spans="1:11">
      <c r="A34" s="605" t="s">
        <v>25</v>
      </c>
      <c r="B34" s="606"/>
      <c r="C34" s="606"/>
      <c r="D34" s="606"/>
      <c r="E34" s="606"/>
      <c r="F34" s="606"/>
      <c r="G34" s="606"/>
      <c r="H34" s="606"/>
      <c r="I34" s="606"/>
      <c r="J34" s="606"/>
      <c r="K34" s="607"/>
    </row>
    <row r="35" spans="1:11" ht="15.75">
      <c r="A35" s="65">
        <v>5.0999999999999996</v>
      </c>
      <c r="B35" s="93" t="s">
        <v>51</v>
      </c>
      <c r="C35" s="66" t="str">
        <f>"0912-7LEK-C"&amp;A35&amp;"-"&amp;UPPER(LEFT(B35,1))</f>
        <v>0912-7LEK-C5.1-P</v>
      </c>
      <c r="D35" s="94" t="s">
        <v>268</v>
      </c>
      <c r="E35" s="95">
        <v>240</v>
      </c>
      <c r="F35" s="95">
        <v>60</v>
      </c>
      <c r="G35" s="95">
        <v>70</v>
      </c>
      <c r="H35" s="95">
        <v>110</v>
      </c>
      <c r="I35" s="95">
        <v>0</v>
      </c>
      <c r="J35" s="95">
        <v>375</v>
      </c>
      <c r="K35" s="95">
        <v>15</v>
      </c>
    </row>
    <row r="36" spans="1:11" ht="15.75">
      <c r="A36" s="3">
        <v>5.2</v>
      </c>
      <c r="B36" s="70" t="s">
        <v>80</v>
      </c>
      <c r="C36" s="7" t="str">
        <f>"0912-7LEK-C"&amp;A36&amp;"-"&amp;UPPER(LEFT(B36,1))&amp;"W"</f>
        <v>0912-7LEK-C5.2-CW</v>
      </c>
      <c r="D36" s="80" t="s">
        <v>268</v>
      </c>
      <c r="E36" s="81">
        <v>210</v>
      </c>
      <c r="F36" s="81">
        <v>60</v>
      </c>
      <c r="G36" s="81">
        <v>60</v>
      </c>
      <c r="H36" s="81">
        <v>90</v>
      </c>
      <c r="I36" s="81">
        <v>0</v>
      </c>
      <c r="J36" s="81">
        <v>300</v>
      </c>
      <c r="K36" s="81">
        <v>12</v>
      </c>
    </row>
    <row r="37" spans="1:11" ht="15.75">
      <c r="A37" s="3">
        <v>5.3</v>
      </c>
      <c r="B37" s="70" t="s">
        <v>52</v>
      </c>
      <c r="C37" s="7" t="str">
        <f t="shared" ref="C37:C44" si="5">"0912-7LEK-C"&amp;A37&amp;"-"&amp;UPPER(LEFT(B37,1))</f>
        <v>0912-7LEK-C5.3-G</v>
      </c>
      <c r="D37" s="80">
        <v>10</v>
      </c>
      <c r="E37" s="81">
        <v>55</v>
      </c>
      <c r="F37" s="81">
        <v>15</v>
      </c>
      <c r="G37" s="81">
        <v>40</v>
      </c>
      <c r="H37" s="81">
        <v>0</v>
      </c>
      <c r="I37" s="81">
        <v>0</v>
      </c>
      <c r="J37" s="81">
        <v>75</v>
      </c>
      <c r="K37" s="81">
        <v>3</v>
      </c>
    </row>
    <row r="38" spans="1:11" ht="15.75">
      <c r="A38" s="3">
        <v>5.4</v>
      </c>
      <c r="B38" s="70" t="s">
        <v>53</v>
      </c>
      <c r="C38" s="7" t="str">
        <f t="shared" si="5"/>
        <v>0912-7LEK-C5.4-N</v>
      </c>
      <c r="D38" s="80">
        <v>7</v>
      </c>
      <c r="E38" s="81">
        <v>60</v>
      </c>
      <c r="F38" s="81">
        <v>15</v>
      </c>
      <c r="G38" s="81">
        <v>15</v>
      </c>
      <c r="H38" s="81">
        <v>30</v>
      </c>
      <c r="I38" s="81">
        <v>0</v>
      </c>
      <c r="J38" s="81">
        <v>100</v>
      </c>
      <c r="K38" s="81">
        <v>4</v>
      </c>
    </row>
    <row r="39" spans="1:11" ht="15.75">
      <c r="A39" s="3">
        <v>5.5</v>
      </c>
      <c r="B39" s="70" t="s">
        <v>54</v>
      </c>
      <c r="C39" s="7" t="str">
        <f t="shared" si="5"/>
        <v>0912-7LEK-C5.5-P</v>
      </c>
      <c r="D39" s="80">
        <v>8</v>
      </c>
      <c r="E39" s="81">
        <v>60</v>
      </c>
      <c r="F39" s="81">
        <v>15</v>
      </c>
      <c r="G39" s="81">
        <v>15</v>
      </c>
      <c r="H39" s="81">
        <v>30</v>
      </c>
      <c r="I39" s="81">
        <v>0</v>
      </c>
      <c r="J39" s="81">
        <v>100</v>
      </c>
      <c r="K39" s="81">
        <v>4</v>
      </c>
    </row>
    <row r="40" spans="1:11" ht="15.75">
      <c r="A40" s="3">
        <v>5.6</v>
      </c>
      <c r="B40" s="70" t="s">
        <v>55</v>
      </c>
      <c r="C40" s="7" t="str">
        <f t="shared" si="5"/>
        <v>0912-7LEK-C5.6-O</v>
      </c>
      <c r="D40" s="80">
        <v>7</v>
      </c>
      <c r="E40" s="81">
        <v>55</v>
      </c>
      <c r="F40" s="81">
        <v>15</v>
      </c>
      <c r="G40" s="81">
        <v>15</v>
      </c>
      <c r="H40" s="81">
        <v>25</v>
      </c>
      <c r="I40" s="81">
        <v>0</v>
      </c>
      <c r="J40" s="81">
        <v>100</v>
      </c>
      <c r="K40" s="81">
        <v>4</v>
      </c>
    </row>
    <row r="41" spans="1:11" ht="15.75">
      <c r="A41" s="3">
        <v>5.7</v>
      </c>
      <c r="B41" s="70" t="s">
        <v>56</v>
      </c>
      <c r="C41" s="7" t="str">
        <f>"0912-7LEK-C"&amp;A41&amp;"-"&amp;UPPER(LEFT(B41,1))&amp;"R"</f>
        <v>0912-7LEK-C5.7-MR</v>
      </c>
      <c r="D41" s="80">
        <v>9</v>
      </c>
      <c r="E41" s="81">
        <v>55</v>
      </c>
      <c r="F41" s="81">
        <v>15</v>
      </c>
      <c r="G41" s="81">
        <v>40</v>
      </c>
      <c r="H41" s="81">
        <v>0</v>
      </c>
      <c r="I41" s="81">
        <v>0</v>
      </c>
      <c r="J41" s="81">
        <v>100</v>
      </c>
      <c r="K41" s="81">
        <v>4</v>
      </c>
    </row>
    <row r="42" spans="1:11" ht="15.75">
      <c r="A42" s="3">
        <v>5.8</v>
      </c>
      <c r="B42" s="70" t="s">
        <v>57</v>
      </c>
      <c r="C42" s="7" t="str">
        <f>"0912-7LEK-C"&amp;A42&amp;"-"&amp;UPPER(LEFT(B42,1))&amp;"iW"</f>
        <v>0912-7LEK-C5.8-DiW</v>
      </c>
      <c r="D42" s="80">
        <v>6</v>
      </c>
      <c r="E42" s="81">
        <v>55</v>
      </c>
      <c r="F42" s="81">
        <v>15</v>
      </c>
      <c r="G42" s="81">
        <v>15</v>
      </c>
      <c r="H42" s="81">
        <v>25</v>
      </c>
      <c r="I42" s="81">
        <v>0</v>
      </c>
      <c r="J42" s="81">
        <v>75</v>
      </c>
      <c r="K42" s="81">
        <v>3</v>
      </c>
    </row>
    <row r="43" spans="1:11" ht="15.75">
      <c r="A43" s="3">
        <v>5.9</v>
      </c>
      <c r="B43" s="70" t="s">
        <v>58</v>
      </c>
      <c r="C43" s="7" t="str">
        <f>"0912-7LEK-C"&amp;A43&amp;"-"&amp;UPPER(LEFT(B43,1))&amp;"Z"</f>
        <v>0912-7LEK-C5.9-CZ</v>
      </c>
      <c r="D43" s="80" t="s">
        <v>144</v>
      </c>
      <c r="E43" s="81">
        <v>70</v>
      </c>
      <c r="F43" s="81">
        <v>15</v>
      </c>
      <c r="G43" s="81">
        <v>20</v>
      </c>
      <c r="H43" s="81">
        <v>35</v>
      </c>
      <c r="I43" s="81">
        <v>0</v>
      </c>
      <c r="J43" s="81">
        <v>100</v>
      </c>
      <c r="K43" s="81">
        <v>4</v>
      </c>
    </row>
    <row r="44" spans="1:11" ht="15.75">
      <c r="A44" s="72">
        <v>5.0999999999999996</v>
      </c>
      <c r="B44" s="70" t="s">
        <v>59</v>
      </c>
      <c r="C44" s="7" t="str">
        <f t="shared" si="5"/>
        <v>0912-7LEK-C5.1-R</v>
      </c>
      <c r="D44" s="80">
        <v>7</v>
      </c>
      <c r="E44" s="81">
        <v>50</v>
      </c>
      <c r="F44" s="81">
        <v>15</v>
      </c>
      <c r="G44" s="81">
        <v>15</v>
      </c>
      <c r="H44" s="81">
        <v>20</v>
      </c>
      <c r="I44" s="81">
        <v>0</v>
      </c>
      <c r="J44" s="81">
        <v>70</v>
      </c>
      <c r="K44" s="81">
        <v>3</v>
      </c>
    </row>
    <row r="45" spans="1:11" ht="15.75">
      <c r="A45" s="72">
        <v>5.1100000000000003</v>
      </c>
      <c r="B45" s="70" t="s">
        <v>60</v>
      </c>
      <c r="C45" s="7" t="str">
        <f>"0912-7LEK-C"&amp;A45&amp;"-"&amp;UPPER(LEFT(B45,1))&amp;"L"</f>
        <v>0912-7LEK-C5.11-DL</v>
      </c>
      <c r="D45" s="80" t="s">
        <v>142</v>
      </c>
      <c r="E45" s="81">
        <v>55</v>
      </c>
      <c r="F45" s="81">
        <v>15</v>
      </c>
      <c r="G45" s="81">
        <v>40</v>
      </c>
      <c r="H45" s="81">
        <v>0</v>
      </c>
      <c r="I45" s="81">
        <v>0</v>
      </c>
      <c r="J45" s="81">
        <v>100</v>
      </c>
      <c r="K45" s="81">
        <v>4</v>
      </c>
    </row>
    <row r="46" spans="1:11" ht="15.75">
      <c r="A46" s="72">
        <v>5.12</v>
      </c>
      <c r="B46" s="70" t="s">
        <v>61</v>
      </c>
      <c r="C46" s="7" t="str">
        <f>"0912-7LEK-C"&amp;A46&amp;"-"&amp;UPPER(LEFT(B46,1))&amp;"K"</f>
        <v>0912-7LEK-C5.12-FK</v>
      </c>
      <c r="D46" s="80" t="s">
        <v>141</v>
      </c>
      <c r="E46" s="81">
        <v>45</v>
      </c>
      <c r="F46" s="81">
        <v>20</v>
      </c>
      <c r="G46" s="81">
        <v>10</v>
      </c>
      <c r="H46" s="81">
        <v>15</v>
      </c>
      <c r="I46" s="81">
        <v>0</v>
      </c>
      <c r="J46" s="81">
        <v>65</v>
      </c>
      <c r="K46" s="81">
        <v>3</v>
      </c>
    </row>
    <row r="47" spans="1:11">
      <c r="A47" s="612" t="s">
        <v>9</v>
      </c>
      <c r="B47" s="613"/>
      <c r="C47" s="613"/>
      <c r="D47" s="614"/>
      <c r="E47" s="92">
        <f>SUM(E35:E46)</f>
        <v>1010</v>
      </c>
      <c r="F47" s="92">
        <f t="shared" ref="F47:K47" si="6">SUM(F35:F46)</f>
        <v>275</v>
      </c>
      <c r="G47" s="92">
        <f t="shared" si="6"/>
        <v>355</v>
      </c>
      <c r="H47" s="92">
        <f t="shared" si="6"/>
        <v>380</v>
      </c>
      <c r="I47" s="92">
        <f t="shared" si="6"/>
        <v>0</v>
      </c>
      <c r="J47" s="92">
        <f t="shared" si="6"/>
        <v>1560</v>
      </c>
      <c r="K47" s="92">
        <f t="shared" si="6"/>
        <v>63</v>
      </c>
    </row>
    <row r="48" spans="1:11">
      <c r="A48" s="605" t="s">
        <v>26</v>
      </c>
      <c r="B48" s="606"/>
      <c r="C48" s="606"/>
      <c r="D48" s="606"/>
      <c r="E48" s="606"/>
      <c r="F48" s="606"/>
      <c r="G48" s="606"/>
      <c r="H48" s="606"/>
      <c r="I48" s="606"/>
      <c r="J48" s="606"/>
      <c r="K48" s="607"/>
    </row>
    <row r="49" spans="1:11" ht="15.75">
      <c r="A49" s="65">
        <v>6.1</v>
      </c>
      <c r="B49" s="93" t="s">
        <v>62</v>
      </c>
      <c r="C49" s="163" t="str">
        <f>"0912-7LEK-C"&amp;A49&amp;"-"&amp;UPPER(LEFT(B49,1))&amp;"iIT"</f>
        <v>0912-7LEK-C6.1-AiIT</v>
      </c>
      <c r="D49" s="164" t="s">
        <v>241</v>
      </c>
      <c r="E49" s="165">
        <v>95</v>
      </c>
      <c r="F49" s="165">
        <v>30</v>
      </c>
      <c r="G49" s="165">
        <v>30</v>
      </c>
      <c r="H49" s="165">
        <v>35</v>
      </c>
      <c r="I49" s="165">
        <v>0</v>
      </c>
      <c r="J49" s="165">
        <v>125</v>
      </c>
      <c r="K49" s="165">
        <v>5</v>
      </c>
    </row>
    <row r="50" spans="1:11" ht="15.75">
      <c r="A50" s="3">
        <v>6.2</v>
      </c>
      <c r="B50" s="70" t="s">
        <v>63</v>
      </c>
      <c r="C50" s="66" t="str">
        <f>"0912-7LEK-C"&amp;A50&amp;"-"&amp;UPPER(LEFT(B50,1))&amp;""</f>
        <v>0912-7LEK-C6.2-C</v>
      </c>
      <c r="D50" s="80" t="s">
        <v>242</v>
      </c>
      <c r="E50" s="81">
        <v>255</v>
      </c>
      <c r="F50" s="81">
        <v>90</v>
      </c>
      <c r="G50" s="81">
        <v>90</v>
      </c>
      <c r="H50" s="81">
        <v>75</v>
      </c>
      <c r="I50" s="81">
        <v>0</v>
      </c>
      <c r="J50" s="81">
        <v>375</v>
      </c>
      <c r="K50" s="81">
        <v>15</v>
      </c>
    </row>
    <row r="51" spans="1:11" ht="15.75">
      <c r="A51" s="3">
        <v>6.3</v>
      </c>
      <c r="B51" s="70" t="s">
        <v>64</v>
      </c>
      <c r="C51" s="66" t="str">
        <f>"0912-7LEK-C"&amp;A51&amp;"-"&amp;UPPER(LEFT(B51,1))&amp;"D"</f>
        <v>0912-7LEK-C6.3-CD</v>
      </c>
      <c r="D51" s="80">
        <v>9</v>
      </c>
      <c r="E51" s="81">
        <v>55</v>
      </c>
      <c r="F51" s="81">
        <v>15</v>
      </c>
      <c r="G51" s="81">
        <v>15</v>
      </c>
      <c r="H51" s="81">
        <v>25</v>
      </c>
      <c r="I51" s="81">
        <v>0</v>
      </c>
      <c r="J51" s="81">
        <v>75</v>
      </c>
      <c r="K51" s="81">
        <v>3</v>
      </c>
    </row>
    <row r="52" spans="1:11" ht="15.75">
      <c r="A52" s="3">
        <v>6.4</v>
      </c>
      <c r="B52" s="70" t="s">
        <v>65</v>
      </c>
      <c r="C52" s="66" t="str">
        <f>"0912-7LEK-C"&amp;A52&amp;"-"&amp;UPPER(LEFT(B52,1))&amp;"iT"</f>
        <v>0912-7LEK-C6.4-OiT</v>
      </c>
      <c r="D52" s="80">
        <v>10</v>
      </c>
      <c r="E52" s="81">
        <v>55</v>
      </c>
      <c r="F52" s="81">
        <v>15</v>
      </c>
      <c r="G52" s="81">
        <v>15</v>
      </c>
      <c r="H52" s="81">
        <v>25</v>
      </c>
      <c r="I52" s="81">
        <v>0</v>
      </c>
      <c r="J52" s="81">
        <v>75</v>
      </c>
      <c r="K52" s="81">
        <v>3</v>
      </c>
    </row>
    <row r="53" spans="1:11" ht="15.75">
      <c r="A53" s="3">
        <v>6.5</v>
      </c>
      <c r="B53" s="70" t="s">
        <v>66</v>
      </c>
      <c r="C53" s="66" t="str">
        <f>"0912-7LEK-C"&amp;A53&amp;"-"&amp;UPPER(LEFT(B53,1))&amp;"O"</f>
        <v>0912-7LEK-C6.5-CO</v>
      </c>
      <c r="D53" s="80">
        <v>10</v>
      </c>
      <c r="E53" s="81">
        <v>45</v>
      </c>
      <c r="F53" s="81">
        <v>15</v>
      </c>
      <c r="G53" s="81">
        <v>10</v>
      </c>
      <c r="H53" s="81">
        <v>20</v>
      </c>
      <c r="I53" s="81">
        <v>0</v>
      </c>
      <c r="J53" s="81">
        <v>50</v>
      </c>
      <c r="K53" s="81">
        <v>2</v>
      </c>
    </row>
    <row r="54" spans="1:11" ht="15.75">
      <c r="A54" s="3">
        <v>6.6</v>
      </c>
      <c r="B54" s="73" t="s">
        <v>67</v>
      </c>
      <c r="C54" s="66" t="str">
        <f>"0912-7LEK-C"&amp;A54&amp;"-"&amp;UPPER(LEFT(B54,1))&amp;""</f>
        <v>0912-7LEK-C6.6-U</v>
      </c>
      <c r="D54" s="80">
        <v>10</v>
      </c>
      <c r="E54" s="81">
        <v>45</v>
      </c>
      <c r="F54" s="81">
        <v>15</v>
      </c>
      <c r="G54" s="81">
        <v>15</v>
      </c>
      <c r="H54" s="81">
        <v>15</v>
      </c>
      <c r="I54" s="81">
        <v>0</v>
      </c>
      <c r="J54" s="81">
        <v>75</v>
      </c>
      <c r="K54" s="81">
        <v>3</v>
      </c>
    </row>
    <row r="55" spans="1:11" ht="15.75">
      <c r="A55" s="3">
        <v>6.7</v>
      </c>
      <c r="B55" s="73" t="s">
        <v>68</v>
      </c>
      <c r="C55" s="66" t="str">
        <f>"0912-7LEK-C"&amp;A55&amp;"-"&amp;UPPER(LEFT(B55,1))&amp;""</f>
        <v>0912-7LEK-C6.7-O</v>
      </c>
      <c r="D55" s="80">
        <v>9</v>
      </c>
      <c r="E55" s="81">
        <v>45</v>
      </c>
      <c r="F55" s="81">
        <v>15</v>
      </c>
      <c r="G55" s="81">
        <v>30</v>
      </c>
      <c r="H55" s="81">
        <v>0</v>
      </c>
      <c r="I55" s="81">
        <v>0</v>
      </c>
      <c r="J55" s="81">
        <v>75</v>
      </c>
      <c r="K55" s="81">
        <v>3</v>
      </c>
    </row>
    <row r="56" spans="1:11" ht="18.75" customHeight="1">
      <c r="A56" s="3">
        <v>6.8</v>
      </c>
      <c r="B56" s="73" t="s">
        <v>69</v>
      </c>
      <c r="C56" s="66" t="str">
        <f>"0912-7LEK-C"&amp;A56&amp;"-"&amp;UPPER(LEFT(B56,1))&amp;"R"</f>
        <v>0912-7LEK-C6.8-MR</v>
      </c>
      <c r="D56" s="80">
        <v>10</v>
      </c>
      <c r="E56" s="81">
        <v>40</v>
      </c>
      <c r="F56" s="81">
        <v>15</v>
      </c>
      <c r="G56" s="81">
        <v>10</v>
      </c>
      <c r="H56" s="81">
        <v>15</v>
      </c>
      <c r="I56" s="81">
        <v>0</v>
      </c>
      <c r="J56" s="81">
        <v>50</v>
      </c>
      <c r="K56" s="81">
        <v>2</v>
      </c>
    </row>
    <row r="57" spans="1:11" ht="15.75">
      <c r="A57" s="3">
        <v>6.9</v>
      </c>
      <c r="B57" s="73" t="s">
        <v>70</v>
      </c>
      <c r="C57" s="66" t="str">
        <f>"0912-7LEK-C"&amp;A57&amp;"-"&amp;UPPER(LEFT(B57,1))&amp;"iP"</f>
        <v>0912-7LEK-C6.9-GiP</v>
      </c>
      <c r="D57" s="80" t="s">
        <v>243</v>
      </c>
      <c r="E57" s="81">
        <v>110</v>
      </c>
      <c r="F57" s="81">
        <v>30</v>
      </c>
      <c r="G57" s="81">
        <v>55</v>
      </c>
      <c r="H57" s="81">
        <v>25</v>
      </c>
      <c r="I57" s="81">
        <v>0</v>
      </c>
      <c r="J57" s="81">
        <v>150</v>
      </c>
      <c r="K57" s="81">
        <v>6</v>
      </c>
    </row>
    <row r="58" spans="1:11" ht="15.75">
      <c r="A58" s="72">
        <v>6.1</v>
      </c>
      <c r="B58" s="73" t="s">
        <v>71</v>
      </c>
      <c r="C58" s="66" t="str">
        <f>"0912-7LEK-C"&amp;A58&amp;"-"&amp;UPPER(LEFT(B58,1))&amp;""</f>
        <v>0912-7LEK-C6.1-O</v>
      </c>
      <c r="D58" s="80">
        <v>10</v>
      </c>
      <c r="E58" s="81">
        <v>40</v>
      </c>
      <c r="F58" s="81">
        <v>15</v>
      </c>
      <c r="G58" s="81">
        <v>10</v>
      </c>
      <c r="H58" s="81">
        <v>15</v>
      </c>
      <c r="I58" s="81">
        <v>0</v>
      </c>
      <c r="J58" s="81">
        <v>50</v>
      </c>
      <c r="K58" s="81">
        <v>2</v>
      </c>
    </row>
    <row r="59" spans="1:11" ht="15.75">
      <c r="A59" s="72">
        <v>6.11</v>
      </c>
      <c r="B59" s="73" t="s">
        <v>72</v>
      </c>
      <c r="C59" s="66" t="str">
        <f>"0912-7LEK-C"&amp;A59&amp;"-"&amp;UPPER(LEFT(B59,1))&amp;""</f>
        <v>0912-7LEK-C6.11-N</v>
      </c>
      <c r="D59" s="80">
        <v>10</v>
      </c>
      <c r="E59" s="81">
        <v>45</v>
      </c>
      <c r="F59" s="81">
        <v>15</v>
      </c>
      <c r="G59" s="81">
        <v>15</v>
      </c>
      <c r="H59" s="81">
        <v>15</v>
      </c>
      <c r="I59" s="81">
        <v>0</v>
      </c>
      <c r="J59" s="81">
        <v>50</v>
      </c>
      <c r="K59" s="81">
        <v>2</v>
      </c>
    </row>
    <row r="60" spans="1:11" ht="15.75">
      <c r="A60" s="72">
        <v>6.12</v>
      </c>
      <c r="B60" s="73" t="s">
        <v>73</v>
      </c>
      <c r="C60" s="66" t="str">
        <f>"0912-7LEK-C"&amp;A60&amp;"-"&amp;UPPER(LEFT(B60,1))&amp;""</f>
        <v>0912-7LEK-C6.12-T</v>
      </c>
      <c r="D60" s="80" t="s">
        <v>126</v>
      </c>
      <c r="E60" s="81">
        <v>15</v>
      </c>
      <c r="F60" s="81">
        <v>15</v>
      </c>
      <c r="G60" s="81">
        <v>0</v>
      </c>
      <c r="H60" s="81">
        <v>0</v>
      </c>
      <c r="I60" s="81">
        <v>0</v>
      </c>
      <c r="J60" s="81">
        <v>25</v>
      </c>
      <c r="K60" s="81">
        <v>1</v>
      </c>
    </row>
    <row r="61" spans="1:11" ht="15.75">
      <c r="A61" s="72">
        <v>6.13</v>
      </c>
      <c r="B61" s="73" t="s">
        <v>74</v>
      </c>
      <c r="C61" s="66" t="str">
        <f>"0912-7LEK-C"&amp;A61&amp;"-"&amp;UPPER(LEFT(B61,1))&amp;"O"</f>
        <v>0912-7LEK-C6.13-DO</v>
      </c>
      <c r="D61" s="80">
        <v>8</v>
      </c>
      <c r="E61" s="81">
        <v>55</v>
      </c>
      <c r="F61" s="81">
        <v>15</v>
      </c>
      <c r="G61" s="81">
        <v>15</v>
      </c>
      <c r="H61" s="81">
        <v>25</v>
      </c>
      <c r="I61" s="81">
        <v>0</v>
      </c>
      <c r="J61" s="81">
        <v>75</v>
      </c>
      <c r="K61" s="81">
        <v>3</v>
      </c>
    </row>
    <row r="62" spans="1:11">
      <c r="A62" s="612" t="s">
        <v>9</v>
      </c>
      <c r="B62" s="613"/>
      <c r="C62" s="613"/>
      <c r="D62" s="614"/>
      <c r="E62" s="92">
        <f>SUM(E49:E61)</f>
        <v>900</v>
      </c>
      <c r="F62" s="92">
        <f t="shared" ref="F62:K62" si="7">SUM(F49:F61)</f>
        <v>300</v>
      </c>
      <c r="G62" s="92">
        <f t="shared" si="7"/>
        <v>310</v>
      </c>
      <c r="H62" s="92">
        <f t="shared" si="7"/>
        <v>290</v>
      </c>
      <c r="I62" s="92">
        <f t="shared" si="7"/>
        <v>0</v>
      </c>
      <c r="J62" s="92">
        <f t="shared" si="7"/>
        <v>1250</v>
      </c>
      <c r="K62" s="92">
        <f t="shared" si="7"/>
        <v>50</v>
      </c>
    </row>
    <row r="63" spans="1:11" s="97" customFormat="1">
      <c r="A63" s="605" t="s">
        <v>27</v>
      </c>
      <c r="B63" s="606"/>
      <c r="C63" s="606"/>
      <c r="D63" s="606"/>
      <c r="E63" s="606"/>
      <c r="F63" s="606"/>
      <c r="G63" s="606"/>
      <c r="H63" s="606"/>
      <c r="I63" s="606"/>
      <c r="J63" s="606"/>
      <c r="K63" s="607"/>
    </row>
    <row r="64" spans="1:11" ht="15.75">
      <c r="A64" s="65">
        <v>7.1</v>
      </c>
      <c r="B64" s="96" t="s">
        <v>75</v>
      </c>
      <c r="C64" s="66" t="str">
        <f>"0912-7LEK-C"&amp;A64&amp;"-"&amp;UPPER(LEFT(B64,1))</f>
        <v>0912-7LEK-C7.1-H</v>
      </c>
      <c r="D64" s="94" t="s">
        <v>239</v>
      </c>
      <c r="E64" s="95">
        <v>15</v>
      </c>
      <c r="F64" s="95">
        <v>15</v>
      </c>
      <c r="G64" s="95">
        <v>0</v>
      </c>
      <c r="H64" s="95">
        <v>0</v>
      </c>
      <c r="I64" s="95">
        <v>0</v>
      </c>
      <c r="J64" s="95">
        <v>25</v>
      </c>
      <c r="K64" s="95">
        <v>1</v>
      </c>
    </row>
    <row r="65" spans="1:11" ht="15.75">
      <c r="A65" s="3">
        <v>7.2</v>
      </c>
      <c r="B65" s="73" t="s">
        <v>76</v>
      </c>
      <c r="C65" s="7" t="str">
        <f>"0912-7LEK-C"&amp;A65&amp;"-"&amp;UPPER(LEFT(B65,1))</f>
        <v>0912-7LEK-C7.2-E</v>
      </c>
      <c r="D65" s="80" t="s">
        <v>239</v>
      </c>
      <c r="E65" s="81">
        <v>15</v>
      </c>
      <c r="F65" s="81">
        <v>15</v>
      </c>
      <c r="G65" s="81">
        <v>0</v>
      </c>
      <c r="H65" s="81">
        <v>0</v>
      </c>
      <c r="I65" s="81">
        <v>0</v>
      </c>
      <c r="J65" s="81">
        <v>25</v>
      </c>
      <c r="K65" s="81">
        <v>1</v>
      </c>
    </row>
    <row r="66" spans="1:11" ht="15.75">
      <c r="A66" s="3">
        <v>7.3</v>
      </c>
      <c r="B66" s="73" t="s">
        <v>77</v>
      </c>
      <c r="C66" s="7" t="str">
        <f>"0912-7LEK-C"&amp;A66&amp;"-"&amp;UPPER(LEFT(B66,1))</f>
        <v>0912-7LEK-C7.3-Z</v>
      </c>
      <c r="D66" s="80" t="s">
        <v>140</v>
      </c>
      <c r="E66" s="81">
        <v>15</v>
      </c>
      <c r="F66" s="81">
        <v>15</v>
      </c>
      <c r="G66" s="81">
        <v>0</v>
      </c>
      <c r="H66" s="81">
        <v>0</v>
      </c>
      <c r="I66" s="81">
        <v>0</v>
      </c>
      <c r="J66" s="81">
        <v>25</v>
      </c>
      <c r="K66" s="81">
        <v>1</v>
      </c>
    </row>
    <row r="67" spans="1:11" ht="15.75">
      <c r="A67" s="3">
        <v>7.4</v>
      </c>
      <c r="B67" s="73" t="s">
        <v>78</v>
      </c>
      <c r="C67" s="7" t="str">
        <f>"0912-7LEK-C"&amp;A67&amp;"-"&amp;UPPER(LEFT(B67,1))</f>
        <v>0912-7LEK-C7.4-P</v>
      </c>
      <c r="D67" s="80" t="s">
        <v>126</v>
      </c>
      <c r="E67" s="81">
        <v>15</v>
      </c>
      <c r="F67" s="81">
        <v>15</v>
      </c>
      <c r="G67" s="81">
        <v>0</v>
      </c>
      <c r="H67" s="81">
        <v>0</v>
      </c>
      <c r="I67" s="81">
        <v>0</v>
      </c>
      <c r="J67" s="81">
        <v>25</v>
      </c>
      <c r="K67" s="81">
        <v>1</v>
      </c>
    </row>
    <row r="68" spans="1:11" ht="15.75">
      <c r="A68" s="3">
        <v>7.5</v>
      </c>
      <c r="B68" s="73" t="s">
        <v>79</v>
      </c>
      <c r="C68" s="7" t="str">
        <f>"0912-7LEK-C"&amp;A68&amp;"-"&amp;UPPER(LEFT(B68,1))</f>
        <v>0912-7LEK-C7.5-M</v>
      </c>
      <c r="D68" s="80">
        <v>10</v>
      </c>
      <c r="E68" s="81">
        <v>45</v>
      </c>
      <c r="F68" s="81">
        <v>10</v>
      </c>
      <c r="G68" s="81">
        <v>15</v>
      </c>
      <c r="H68" s="81">
        <v>20</v>
      </c>
      <c r="I68" s="81">
        <v>0</v>
      </c>
      <c r="J68" s="81">
        <v>55</v>
      </c>
      <c r="K68" s="81">
        <v>2</v>
      </c>
    </row>
    <row r="69" spans="1:11">
      <c r="A69" s="612" t="s">
        <v>9</v>
      </c>
      <c r="B69" s="613"/>
      <c r="C69" s="613"/>
      <c r="D69" s="614"/>
      <c r="E69" s="92">
        <f>SUM(E64:E68)</f>
        <v>105</v>
      </c>
      <c r="F69" s="92">
        <f t="shared" ref="F69:K69" si="8">SUM(F64:F68)</f>
        <v>70</v>
      </c>
      <c r="G69" s="92">
        <f t="shared" si="8"/>
        <v>15</v>
      </c>
      <c r="H69" s="92">
        <f t="shared" si="8"/>
        <v>20</v>
      </c>
      <c r="I69" s="92">
        <f t="shared" si="8"/>
        <v>0</v>
      </c>
      <c r="J69" s="92">
        <f t="shared" si="8"/>
        <v>155</v>
      </c>
      <c r="K69" s="92">
        <f t="shared" si="8"/>
        <v>6</v>
      </c>
    </row>
    <row r="70" spans="1:11">
      <c r="A70" s="605" t="s">
        <v>28</v>
      </c>
      <c r="B70" s="606"/>
      <c r="C70" s="606"/>
      <c r="D70" s="606"/>
      <c r="E70" s="606"/>
      <c r="F70" s="606"/>
      <c r="G70" s="606"/>
      <c r="H70" s="606"/>
      <c r="I70" s="606"/>
      <c r="J70" s="606"/>
      <c r="K70" s="607"/>
    </row>
    <row r="71" spans="1:11" ht="15.75">
      <c r="A71" s="65">
        <v>8.1</v>
      </c>
      <c r="B71" s="96" t="s">
        <v>80</v>
      </c>
      <c r="C71" s="66" t="str">
        <f>"0912-7LEK-C"&amp;A71&amp;"-"&amp;UPPER(LEFT(B71,1))</f>
        <v>0912-7LEK-C8.1-C</v>
      </c>
      <c r="D71" s="94" t="s">
        <v>130</v>
      </c>
      <c r="E71" s="95">
        <v>240</v>
      </c>
      <c r="F71" s="95">
        <v>0</v>
      </c>
      <c r="G71" s="95">
        <v>0</v>
      </c>
      <c r="H71" s="95">
        <v>240</v>
      </c>
      <c r="I71" s="95">
        <v>0</v>
      </c>
      <c r="J71" s="95">
        <v>400</v>
      </c>
      <c r="K71" s="95">
        <v>16</v>
      </c>
    </row>
    <row r="72" spans="1:11" ht="15.75">
      <c r="A72" s="3">
        <v>8.1999999999999993</v>
      </c>
      <c r="B72" s="73" t="s">
        <v>51</v>
      </c>
      <c r="C72" s="7" t="str">
        <f t="shared" ref="C72:C78" si="9">"0912-7LEK-C"&amp;A72&amp;"-"&amp;UPPER(LEFT(B72,1))</f>
        <v>0912-7LEK-C8.2-P</v>
      </c>
      <c r="D72" s="80" t="s">
        <v>130</v>
      </c>
      <c r="E72" s="81">
        <v>120</v>
      </c>
      <c r="F72" s="81">
        <v>0</v>
      </c>
      <c r="G72" s="81">
        <v>0</v>
      </c>
      <c r="H72" s="81">
        <v>120</v>
      </c>
      <c r="I72" s="81">
        <v>0</v>
      </c>
      <c r="J72" s="81">
        <v>200</v>
      </c>
      <c r="K72" s="81">
        <v>8</v>
      </c>
    </row>
    <row r="73" spans="1:11" ht="15.75">
      <c r="A73" s="3">
        <v>8.3000000000000007</v>
      </c>
      <c r="B73" s="73" t="s">
        <v>81</v>
      </c>
      <c r="C73" s="7" t="str">
        <f t="shared" si="9"/>
        <v>0912-7LEK-C8.3-C</v>
      </c>
      <c r="D73" s="80" t="s">
        <v>246</v>
      </c>
      <c r="E73" s="81">
        <v>120</v>
      </c>
      <c r="F73" s="81">
        <v>0</v>
      </c>
      <c r="G73" s="81">
        <v>0</v>
      </c>
      <c r="H73" s="81">
        <v>120</v>
      </c>
      <c r="I73" s="81">
        <v>0</v>
      </c>
      <c r="J73" s="81">
        <v>200</v>
      </c>
      <c r="K73" s="81">
        <v>8</v>
      </c>
    </row>
    <row r="74" spans="1:11" ht="15.75">
      <c r="A74" s="3">
        <v>8.4</v>
      </c>
      <c r="B74" s="73" t="s">
        <v>70</v>
      </c>
      <c r="C74" s="7" t="str">
        <f t="shared" si="9"/>
        <v>0912-7LEK-C8.4-G</v>
      </c>
      <c r="D74" s="80" t="s">
        <v>131</v>
      </c>
      <c r="E74" s="81">
        <v>60</v>
      </c>
      <c r="F74" s="81">
        <v>0</v>
      </c>
      <c r="G74" s="81">
        <v>0</v>
      </c>
      <c r="H74" s="81">
        <v>60</v>
      </c>
      <c r="I74" s="81">
        <v>0</v>
      </c>
      <c r="J74" s="81">
        <v>100</v>
      </c>
      <c r="K74" s="81">
        <v>4</v>
      </c>
    </row>
    <row r="75" spans="1:11" ht="15.75">
      <c r="A75" s="3">
        <v>8.5</v>
      </c>
      <c r="B75" s="73" t="s">
        <v>54</v>
      </c>
      <c r="C75" s="7" t="str">
        <f t="shared" si="9"/>
        <v>0912-7LEK-C8.5-P</v>
      </c>
      <c r="D75" s="80" t="s">
        <v>131</v>
      </c>
      <c r="E75" s="81">
        <v>60</v>
      </c>
      <c r="F75" s="81">
        <v>0</v>
      </c>
      <c r="G75" s="81">
        <v>0</v>
      </c>
      <c r="H75" s="81">
        <v>60</v>
      </c>
      <c r="I75" s="81">
        <v>0</v>
      </c>
      <c r="J75" s="81">
        <v>100</v>
      </c>
      <c r="K75" s="81">
        <v>4</v>
      </c>
    </row>
    <row r="76" spans="1:11" ht="15.75">
      <c r="A76" s="3">
        <v>8.6</v>
      </c>
      <c r="B76" s="73" t="s">
        <v>82</v>
      </c>
      <c r="C76" s="7" t="str">
        <f>"0912-7LEK-C"&amp;A76&amp;"-"&amp;UPPER(LEFT(B76,1))&amp;"R"</f>
        <v>0912-7LEK-C8.6-MR</v>
      </c>
      <c r="D76" s="80" t="s">
        <v>131</v>
      </c>
      <c r="E76" s="81">
        <v>60</v>
      </c>
      <c r="F76" s="81">
        <v>0</v>
      </c>
      <c r="G76" s="81">
        <v>0</v>
      </c>
      <c r="H76" s="81">
        <v>60</v>
      </c>
      <c r="I76" s="81">
        <v>0</v>
      </c>
      <c r="J76" s="81">
        <v>100</v>
      </c>
      <c r="K76" s="81">
        <v>4</v>
      </c>
    </row>
    <row r="77" spans="1:11" ht="15.75">
      <c r="A77" s="3">
        <v>8.6999999999999993</v>
      </c>
      <c r="B77" s="73" t="s">
        <v>56</v>
      </c>
      <c r="C77" s="7" t="str">
        <f t="shared" si="9"/>
        <v>0912-7LEK-C8.7-M</v>
      </c>
      <c r="D77" s="80" t="s">
        <v>131</v>
      </c>
      <c r="E77" s="81">
        <v>60</v>
      </c>
      <c r="F77" s="81">
        <v>0</v>
      </c>
      <c r="G77" s="81">
        <v>0</v>
      </c>
      <c r="H77" s="81">
        <v>60</v>
      </c>
      <c r="I77" s="81">
        <v>0</v>
      </c>
      <c r="J77" s="81">
        <v>100</v>
      </c>
      <c r="K77" s="81">
        <v>4</v>
      </c>
    </row>
    <row r="78" spans="1:11" ht="15.75">
      <c r="A78" s="3">
        <v>8.8000000000000007</v>
      </c>
      <c r="B78" s="73" t="s">
        <v>33</v>
      </c>
      <c r="C78" s="7" t="str">
        <f t="shared" si="9"/>
        <v>0912-7LEK-C8.8-S</v>
      </c>
      <c r="D78" s="80" t="s">
        <v>131</v>
      </c>
      <c r="E78" s="81">
        <v>180</v>
      </c>
      <c r="F78" s="81">
        <v>0</v>
      </c>
      <c r="G78" s="81">
        <v>0</v>
      </c>
      <c r="H78" s="81">
        <v>180</v>
      </c>
      <c r="I78" s="81">
        <v>0</v>
      </c>
      <c r="J78" s="81">
        <v>300</v>
      </c>
      <c r="K78" s="81">
        <v>12</v>
      </c>
    </row>
    <row r="79" spans="1:11">
      <c r="A79" s="612" t="s">
        <v>9</v>
      </c>
      <c r="B79" s="613"/>
      <c r="C79" s="613"/>
      <c r="D79" s="614"/>
      <c r="E79" s="92">
        <f>SUM(E71:E78)</f>
        <v>900</v>
      </c>
      <c r="F79" s="92">
        <f t="shared" ref="F79:K79" si="10">SUM(F71:F78)</f>
        <v>0</v>
      </c>
      <c r="G79" s="92">
        <f t="shared" si="10"/>
        <v>0</v>
      </c>
      <c r="H79" s="92">
        <f t="shared" si="10"/>
        <v>900</v>
      </c>
      <c r="I79" s="92">
        <f t="shared" si="10"/>
        <v>0</v>
      </c>
      <c r="J79" s="92">
        <f t="shared" si="10"/>
        <v>1500</v>
      </c>
      <c r="K79" s="92">
        <f t="shared" si="10"/>
        <v>60</v>
      </c>
    </row>
    <row r="80" spans="1:11">
      <c r="A80" s="605" t="s">
        <v>29</v>
      </c>
      <c r="B80" s="606"/>
      <c r="C80" s="606"/>
      <c r="D80" s="606"/>
      <c r="E80" s="606"/>
      <c r="F80" s="606"/>
      <c r="G80" s="606"/>
      <c r="H80" s="606"/>
      <c r="I80" s="606"/>
      <c r="J80" s="606"/>
      <c r="K80" s="607"/>
    </row>
    <row r="81" spans="1:11" ht="15.75">
      <c r="A81" s="65">
        <v>9.1</v>
      </c>
      <c r="B81" s="96" t="s">
        <v>83</v>
      </c>
      <c r="C81" s="66" t="str">
        <f t="shared" ref="C81:C88" si="11">"0912-7LEK-C"&amp;A81&amp;"-"&amp;UPPER(LEFT(B81,1))</f>
        <v>0912-7LEK-C9.1-O</v>
      </c>
      <c r="D81" s="94" t="s">
        <v>238</v>
      </c>
      <c r="E81" s="95">
        <v>120</v>
      </c>
      <c r="F81" s="95">
        <v>0</v>
      </c>
      <c r="G81" s="95">
        <v>0</v>
      </c>
      <c r="H81" s="101">
        <v>120</v>
      </c>
      <c r="I81" s="95">
        <v>0</v>
      </c>
      <c r="J81" s="95">
        <v>120</v>
      </c>
      <c r="K81" s="95">
        <v>4</v>
      </c>
    </row>
    <row r="82" spans="1:11" ht="15.75">
      <c r="A82" s="3">
        <v>9.1999999999999993</v>
      </c>
      <c r="B82" s="73" t="s">
        <v>84</v>
      </c>
      <c r="C82" s="7" t="str">
        <f t="shared" si="11"/>
        <v>0912-7LEK-C9.2-L</v>
      </c>
      <c r="D82" s="80" t="s">
        <v>140</v>
      </c>
      <c r="E82" s="81">
        <v>90</v>
      </c>
      <c r="F82" s="81">
        <v>0</v>
      </c>
      <c r="G82" s="81">
        <v>0</v>
      </c>
      <c r="H82" s="87">
        <v>90</v>
      </c>
      <c r="I82" s="81">
        <v>0</v>
      </c>
      <c r="J82" s="81">
        <v>90</v>
      </c>
      <c r="K82" s="81">
        <v>3</v>
      </c>
    </row>
    <row r="83" spans="1:11" ht="15.75">
      <c r="A83" s="3">
        <v>9.3000000000000007</v>
      </c>
      <c r="B83" s="73" t="s">
        <v>85</v>
      </c>
      <c r="C83" s="7" t="str">
        <f t="shared" si="11"/>
        <v>0912-7LEK-C9.3-P</v>
      </c>
      <c r="D83" s="80" t="s">
        <v>140</v>
      </c>
      <c r="E83" s="81">
        <v>30</v>
      </c>
      <c r="F83" s="81">
        <v>0</v>
      </c>
      <c r="G83" s="81">
        <v>0</v>
      </c>
      <c r="H83" s="87">
        <v>30</v>
      </c>
      <c r="I83" s="81">
        <v>0</v>
      </c>
      <c r="J83" s="81">
        <v>30</v>
      </c>
      <c r="K83" s="81">
        <v>1</v>
      </c>
    </row>
    <row r="84" spans="1:11" ht="15.75">
      <c r="A84" s="3">
        <v>9.4</v>
      </c>
      <c r="B84" s="73" t="s">
        <v>80</v>
      </c>
      <c r="C84" s="7" t="str">
        <f t="shared" si="11"/>
        <v>0912-7LEK-C9.4-C</v>
      </c>
      <c r="D84" s="80" t="s">
        <v>143</v>
      </c>
      <c r="E84" s="81">
        <v>120</v>
      </c>
      <c r="F84" s="81">
        <v>0</v>
      </c>
      <c r="G84" s="81">
        <v>0</v>
      </c>
      <c r="H84" s="87">
        <v>120</v>
      </c>
      <c r="I84" s="81">
        <v>0</v>
      </c>
      <c r="J84" s="81">
        <v>120</v>
      </c>
      <c r="K84" s="81">
        <v>4</v>
      </c>
    </row>
    <row r="85" spans="1:11" ht="15.75">
      <c r="A85" s="3">
        <v>9.5</v>
      </c>
      <c r="B85" s="73" t="s">
        <v>86</v>
      </c>
      <c r="C85" s="7" t="str">
        <f t="shared" si="11"/>
        <v>0912-7LEK-C9.5-I</v>
      </c>
      <c r="D85" s="80" t="s">
        <v>141</v>
      </c>
      <c r="E85" s="81">
        <v>60</v>
      </c>
      <c r="F85" s="81">
        <v>0</v>
      </c>
      <c r="G85" s="81">
        <v>0</v>
      </c>
      <c r="H85" s="87">
        <v>60</v>
      </c>
      <c r="I85" s="81">
        <v>0</v>
      </c>
      <c r="J85" s="81">
        <v>60</v>
      </c>
      <c r="K85" s="81">
        <v>2</v>
      </c>
    </row>
    <row r="86" spans="1:11" ht="15.75">
      <c r="A86" s="3">
        <v>9.6</v>
      </c>
      <c r="B86" s="73" t="s">
        <v>51</v>
      </c>
      <c r="C86" s="7" t="str">
        <f t="shared" si="11"/>
        <v>0912-7LEK-C9.6-P</v>
      </c>
      <c r="D86" s="80" t="s">
        <v>141</v>
      </c>
      <c r="E86" s="81">
        <v>60</v>
      </c>
      <c r="F86" s="81">
        <v>0</v>
      </c>
      <c r="G86" s="81">
        <v>0</v>
      </c>
      <c r="H86" s="87">
        <v>60</v>
      </c>
      <c r="I86" s="81">
        <v>0</v>
      </c>
      <c r="J86" s="81">
        <v>60</v>
      </c>
      <c r="K86" s="81">
        <v>2</v>
      </c>
    </row>
    <row r="87" spans="1:11" ht="15.75">
      <c r="A87" s="3">
        <v>9.6999999999999993</v>
      </c>
      <c r="B87" s="73" t="s">
        <v>81</v>
      </c>
      <c r="C87" s="7" t="str">
        <f t="shared" si="11"/>
        <v>0912-7LEK-C9.7-C</v>
      </c>
      <c r="D87" s="80" t="s">
        <v>129</v>
      </c>
      <c r="E87" s="81">
        <v>60</v>
      </c>
      <c r="F87" s="81">
        <v>0</v>
      </c>
      <c r="G87" s="81">
        <v>0</v>
      </c>
      <c r="H87" s="87">
        <v>60</v>
      </c>
      <c r="I87" s="81">
        <v>0</v>
      </c>
      <c r="J87" s="81">
        <v>60</v>
      </c>
      <c r="K87" s="81">
        <v>2</v>
      </c>
    </row>
    <row r="88" spans="1:11" ht="15.75">
      <c r="A88" s="3">
        <v>9.8000000000000007</v>
      </c>
      <c r="B88" s="73" t="s">
        <v>70</v>
      </c>
      <c r="C88" s="7" t="str">
        <f t="shared" si="11"/>
        <v>0912-7LEK-C9.8-G</v>
      </c>
      <c r="D88" s="80" t="s">
        <v>129</v>
      </c>
      <c r="E88" s="81">
        <v>60</v>
      </c>
      <c r="F88" s="81">
        <v>0</v>
      </c>
      <c r="G88" s="81">
        <v>0</v>
      </c>
      <c r="H88" s="87">
        <v>60</v>
      </c>
      <c r="I88" s="81">
        <v>0</v>
      </c>
      <c r="J88" s="81">
        <v>60</v>
      </c>
      <c r="K88" s="81">
        <v>2</v>
      </c>
    </row>
    <row r="89" spans="1:11">
      <c r="A89" s="618" t="s">
        <v>9</v>
      </c>
      <c r="B89" s="618"/>
      <c r="C89" s="132"/>
      <c r="D89" s="82"/>
      <c r="E89" s="85">
        <f t="shared" ref="E89:K89" si="12">SUM(E81:E88)</f>
        <v>600</v>
      </c>
      <c r="F89" s="85">
        <f t="shared" si="12"/>
        <v>0</v>
      </c>
      <c r="G89" s="85">
        <f t="shared" si="12"/>
        <v>0</v>
      </c>
      <c r="H89" s="85">
        <f t="shared" si="12"/>
        <v>600</v>
      </c>
      <c r="I89" s="85">
        <f t="shared" si="12"/>
        <v>0</v>
      </c>
      <c r="J89" s="85">
        <f t="shared" si="12"/>
        <v>600</v>
      </c>
      <c r="K89" s="85">
        <f t="shared" si="12"/>
        <v>20</v>
      </c>
    </row>
    <row r="90" spans="1:11">
      <c r="A90" s="605" t="s">
        <v>31</v>
      </c>
      <c r="B90" s="606"/>
      <c r="C90" s="606"/>
      <c r="D90" s="606"/>
      <c r="E90" s="606"/>
      <c r="F90" s="606"/>
      <c r="G90" s="606"/>
      <c r="H90" s="606"/>
      <c r="I90" s="606"/>
      <c r="J90" s="606"/>
      <c r="K90" s="607"/>
    </row>
    <row r="91" spans="1:11" ht="15.75">
      <c r="A91" s="3">
        <v>10.1</v>
      </c>
      <c r="B91" s="73" t="s">
        <v>17</v>
      </c>
      <c r="C91" s="7" t="str">
        <f>"0912-7LEK-A"&amp;A91&amp;"-"&amp;UPPER(LEFT(B91,1))&amp;"A"</f>
        <v>0912-7LEK-A10.1-JA</v>
      </c>
      <c r="D91" s="80" t="s">
        <v>235</v>
      </c>
      <c r="E91" s="81">
        <v>120</v>
      </c>
      <c r="F91" s="81">
        <v>0</v>
      </c>
      <c r="G91" s="81">
        <v>120</v>
      </c>
      <c r="H91" s="81">
        <v>0</v>
      </c>
      <c r="I91" s="81">
        <v>0</v>
      </c>
      <c r="J91" s="81">
        <v>180</v>
      </c>
      <c r="K91" s="81">
        <v>6</v>
      </c>
    </row>
    <row r="92" spans="1:11" ht="15.75">
      <c r="A92" s="3">
        <v>10.199999999999999</v>
      </c>
      <c r="B92" s="73" t="s">
        <v>203</v>
      </c>
      <c r="C92" s="7" t="str">
        <f>"0912-7LEK-A"&amp;A92&amp;"-"&amp;UPPER(LEFT(B92,1))&amp;"O"</f>
        <v>0912-7LEK-A10.2-JO</v>
      </c>
      <c r="D92" s="80" t="s">
        <v>236</v>
      </c>
      <c r="E92" s="81">
        <v>50</v>
      </c>
      <c r="F92" s="81">
        <v>0</v>
      </c>
      <c r="G92" s="81">
        <v>50</v>
      </c>
      <c r="H92" s="81">
        <v>0</v>
      </c>
      <c r="I92" s="81">
        <v>0</v>
      </c>
      <c r="J92" s="81">
        <v>60</v>
      </c>
      <c r="K92" s="81">
        <v>2</v>
      </c>
    </row>
    <row r="93" spans="1:11" ht="15.75">
      <c r="A93" s="3">
        <v>10.3</v>
      </c>
      <c r="B93" s="73" t="s">
        <v>19</v>
      </c>
      <c r="C93" s="7" t="str">
        <f>"0912-7LEK-A"&amp;A93&amp;"-"&amp;UPPER(LEFT(B93,1))&amp;"Ł"</f>
        <v>0912-7LEK-A10.3-JŁ</v>
      </c>
      <c r="D93" s="80" t="s">
        <v>237</v>
      </c>
      <c r="E93" s="81">
        <v>30</v>
      </c>
      <c r="F93" s="81">
        <v>0</v>
      </c>
      <c r="G93" s="81">
        <v>30</v>
      </c>
      <c r="H93" s="81">
        <v>0</v>
      </c>
      <c r="I93" s="81">
        <v>0</v>
      </c>
      <c r="J93" s="81">
        <v>30</v>
      </c>
      <c r="K93" s="81">
        <v>1</v>
      </c>
    </row>
    <row r="94" spans="1:11" ht="18.75" customHeight="1">
      <c r="A94" s="3">
        <v>10.4</v>
      </c>
      <c r="B94" s="73" t="s">
        <v>87</v>
      </c>
      <c r="C94" s="7" t="str">
        <f>"0912-7LEK-A"&amp;A94&amp;"-"&amp;UPPER(LEFT(B94,1))&amp;"B"</f>
        <v>0912-7LEK-A10.4-PB</v>
      </c>
      <c r="D94" s="80" t="s">
        <v>237</v>
      </c>
      <c r="E94" s="81">
        <v>2</v>
      </c>
      <c r="F94" s="81">
        <v>0</v>
      </c>
      <c r="G94" s="81">
        <v>2</v>
      </c>
      <c r="H94" s="81">
        <v>0</v>
      </c>
      <c r="I94" s="81">
        <v>0</v>
      </c>
      <c r="J94" s="81">
        <v>2</v>
      </c>
      <c r="K94" s="81">
        <v>0</v>
      </c>
    </row>
    <row r="95" spans="1:11" ht="15.75" customHeight="1">
      <c r="A95" s="3">
        <v>10.5</v>
      </c>
      <c r="B95" s="73" t="s">
        <v>30</v>
      </c>
      <c r="C95" s="7" t="str">
        <f>"0912-7LEK-A"&amp;A95&amp;"-"&amp;UPPER(LEFT(B95,1))&amp;"HP"</f>
        <v>0912-7LEK-A10.5-BHP</v>
      </c>
      <c r="D95" s="80" t="s">
        <v>238</v>
      </c>
      <c r="E95" s="81">
        <v>5</v>
      </c>
      <c r="F95" s="81">
        <v>5</v>
      </c>
      <c r="G95" s="81">
        <v>0</v>
      </c>
      <c r="H95" s="81">
        <v>0</v>
      </c>
      <c r="I95" s="81">
        <v>0</v>
      </c>
      <c r="J95" s="81">
        <v>5</v>
      </c>
      <c r="K95" s="81">
        <v>0</v>
      </c>
    </row>
    <row r="96" spans="1:11" ht="18.75" customHeight="1">
      <c r="A96" s="3">
        <v>10.6</v>
      </c>
      <c r="B96" s="73" t="s">
        <v>108</v>
      </c>
      <c r="C96" s="7" t="str">
        <f>"0912-7LEK-A"&amp;A96&amp;"-"&amp;UPPER(LEFT(B96,1))&amp;"F"</f>
        <v>0912-7LEK-A10.6-WF</v>
      </c>
      <c r="D96" s="80" t="s">
        <v>121</v>
      </c>
      <c r="E96" s="81">
        <v>180</v>
      </c>
      <c r="F96" s="81">
        <v>0</v>
      </c>
      <c r="G96" s="81">
        <v>180</v>
      </c>
      <c r="H96" s="81">
        <v>0</v>
      </c>
      <c r="I96" s="81">
        <v>0</v>
      </c>
      <c r="J96" s="81">
        <v>180</v>
      </c>
      <c r="K96" s="81">
        <v>0</v>
      </c>
    </row>
    <row r="97" spans="1:11">
      <c r="A97" s="625">
        <v>10.7</v>
      </c>
      <c r="B97" s="619" t="s">
        <v>120</v>
      </c>
      <c r="C97" s="620"/>
      <c r="D97" s="80" t="s">
        <v>239</v>
      </c>
      <c r="E97" s="81">
        <v>30</v>
      </c>
      <c r="F97" s="81">
        <v>0</v>
      </c>
      <c r="G97" s="81">
        <v>30</v>
      </c>
      <c r="H97" s="81">
        <v>0</v>
      </c>
      <c r="I97" s="81">
        <v>0</v>
      </c>
      <c r="J97" s="81">
        <v>60</v>
      </c>
      <c r="K97" s="81">
        <v>2</v>
      </c>
    </row>
    <row r="98" spans="1:11">
      <c r="A98" s="626"/>
      <c r="B98" s="621"/>
      <c r="C98" s="622"/>
      <c r="D98" s="80" t="s">
        <v>140</v>
      </c>
      <c r="E98" s="81">
        <v>30</v>
      </c>
      <c r="F98" s="81">
        <v>0</v>
      </c>
      <c r="G98" s="81">
        <v>30</v>
      </c>
      <c r="H98" s="81">
        <v>0</v>
      </c>
      <c r="I98" s="81">
        <v>0</v>
      </c>
      <c r="J98" s="81">
        <v>60</v>
      </c>
      <c r="K98" s="81">
        <v>2</v>
      </c>
    </row>
    <row r="99" spans="1:11">
      <c r="A99" s="618" t="s">
        <v>9</v>
      </c>
      <c r="B99" s="618"/>
      <c r="C99" s="132"/>
      <c r="D99" s="82"/>
      <c r="E99" s="85">
        <f t="shared" ref="E99:J99" si="13">SUM(E91:E96)</f>
        <v>387</v>
      </c>
      <c r="F99" s="85">
        <f t="shared" si="13"/>
        <v>5</v>
      </c>
      <c r="G99" s="85">
        <f t="shared" si="13"/>
        <v>382</v>
      </c>
      <c r="H99" s="85">
        <f t="shared" si="13"/>
        <v>0</v>
      </c>
      <c r="I99" s="85">
        <f t="shared" si="13"/>
        <v>0</v>
      </c>
      <c r="J99" s="85">
        <f t="shared" si="13"/>
        <v>457</v>
      </c>
      <c r="K99" s="85">
        <f>SUM(K91:K98)</f>
        <v>13</v>
      </c>
    </row>
    <row r="100" spans="1:11">
      <c r="A100" s="605" t="s">
        <v>234</v>
      </c>
      <c r="B100" s="606"/>
      <c r="C100" s="606"/>
      <c r="D100" s="606"/>
      <c r="E100" s="606"/>
      <c r="F100" s="606"/>
      <c r="G100" s="606"/>
      <c r="H100" s="606"/>
      <c r="I100" s="606"/>
      <c r="J100" s="606"/>
      <c r="K100" s="607"/>
    </row>
    <row r="101" spans="1:11" ht="15.75">
      <c r="A101" s="122">
        <v>1</v>
      </c>
      <c r="B101" s="79" t="s">
        <v>116</v>
      </c>
      <c r="C101" s="7"/>
      <c r="D101" s="80" t="s">
        <v>237</v>
      </c>
      <c r="E101" s="81">
        <v>15</v>
      </c>
      <c r="F101" s="81">
        <v>15</v>
      </c>
      <c r="G101" s="81">
        <v>0</v>
      </c>
      <c r="H101" s="81">
        <v>0</v>
      </c>
      <c r="I101" s="81">
        <v>0</v>
      </c>
      <c r="J101" s="81">
        <v>25</v>
      </c>
      <c r="K101" s="81">
        <v>1</v>
      </c>
    </row>
    <row r="102" spans="1:11" ht="15.75">
      <c r="A102" s="122">
        <v>2</v>
      </c>
      <c r="B102" s="79" t="s">
        <v>116</v>
      </c>
      <c r="C102" s="7"/>
      <c r="D102" s="80" t="s">
        <v>237</v>
      </c>
      <c r="E102" s="81">
        <v>15</v>
      </c>
      <c r="F102" s="81">
        <v>15</v>
      </c>
      <c r="G102" s="81">
        <v>0</v>
      </c>
      <c r="H102" s="81">
        <v>0</v>
      </c>
      <c r="I102" s="81">
        <v>0</v>
      </c>
      <c r="J102" s="81">
        <v>25</v>
      </c>
      <c r="K102" s="81">
        <v>1</v>
      </c>
    </row>
    <row r="103" spans="1:11" ht="15.75">
      <c r="A103" s="122">
        <v>3</v>
      </c>
      <c r="B103" s="79" t="s">
        <v>116</v>
      </c>
      <c r="C103" s="7"/>
      <c r="D103" s="80" t="s">
        <v>238</v>
      </c>
      <c r="E103" s="81">
        <v>15</v>
      </c>
      <c r="F103" s="81">
        <v>15</v>
      </c>
      <c r="G103" s="81">
        <v>0</v>
      </c>
      <c r="H103" s="81">
        <v>0</v>
      </c>
      <c r="I103" s="81">
        <v>0</v>
      </c>
      <c r="J103" s="81">
        <v>25</v>
      </c>
      <c r="K103" s="81">
        <v>1</v>
      </c>
    </row>
    <row r="104" spans="1:11" ht="15.75">
      <c r="A104" s="122">
        <v>4</v>
      </c>
      <c r="B104" s="79" t="s">
        <v>116</v>
      </c>
      <c r="C104" s="7"/>
      <c r="D104" s="80" t="s">
        <v>238</v>
      </c>
      <c r="E104" s="81">
        <v>15</v>
      </c>
      <c r="F104" s="81">
        <v>15</v>
      </c>
      <c r="G104" s="81">
        <v>0</v>
      </c>
      <c r="H104" s="81">
        <v>0</v>
      </c>
      <c r="I104" s="81">
        <v>0</v>
      </c>
      <c r="J104" s="81">
        <v>25</v>
      </c>
      <c r="K104" s="81">
        <v>1</v>
      </c>
    </row>
    <row r="105" spans="1:11" ht="15.75">
      <c r="A105" s="122">
        <v>5</v>
      </c>
      <c r="B105" s="79" t="s">
        <v>116</v>
      </c>
      <c r="C105" s="7"/>
      <c r="D105" s="80" t="s">
        <v>239</v>
      </c>
      <c r="E105" s="81">
        <v>15</v>
      </c>
      <c r="F105" s="81">
        <v>15</v>
      </c>
      <c r="G105" s="81">
        <v>0</v>
      </c>
      <c r="H105" s="81">
        <v>0</v>
      </c>
      <c r="I105" s="81">
        <v>0</v>
      </c>
      <c r="J105" s="81">
        <v>25</v>
      </c>
      <c r="K105" s="81">
        <v>1</v>
      </c>
    </row>
    <row r="106" spans="1:11" ht="15.75">
      <c r="A106" s="122">
        <v>6</v>
      </c>
      <c r="B106" s="79" t="s">
        <v>116</v>
      </c>
      <c r="C106" s="7"/>
      <c r="D106" s="80" t="s">
        <v>239</v>
      </c>
      <c r="E106" s="81">
        <v>15</v>
      </c>
      <c r="F106" s="81">
        <v>15</v>
      </c>
      <c r="G106" s="81">
        <v>0</v>
      </c>
      <c r="H106" s="81">
        <v>0</v>
      </c>
      <c r="I106" s="81">
        <v>0</v>
      </c>
      <c r="J106" s="81">
        <v>25</v>
      </c>
      <c r="K106" s="81">
        <v>1</v>
      </c>
    </row>
    <row r="107" spans="1:11" ht="15.75">
      <c r="A107" s="122">
        <v>7</v>
      </c>
      <c r="B107" s="79" t="s">
        <v>116</v>
      </c>
      <c r="C107" s="7"/>
      <c r="D107" s="80" t="s">
        <v>239</v>
      </c>
      <c r="E107" s="81">
        <v>15</v>
      </c>
      <c r="F107" s="81">
        <v>15</v>
      </c>
      <c r="G107" s="81">
        <v>0</v>
      </c>
      <c r="H107" s="81">
        <v>0</v>
      </c>
      <c r="I107" s="81">
        <v>0</v>
      </c>
      <c r="J107" s="81">
        <v>25</v>
      </c>
      <c r="K107" s="81">
        <v>1</v>
      </c>
    </row>
    <row r="108" spans="1:11" ht="15.75">
      <c r="A108" s="122">
        <v>8</v>
      </c>
      <c r="B108" s="79" t="s">
        <v>116</v>
      </c>
      <c r="C108" s="7"/>
      <c r="D108" s="80" t="s">
        <v>140</v>
      </c>
      <c r="E108" s="81">
        <v>15</v>
      </c>
      <c r="F108" s="81">
        <v>15</v>
      </c>
      <c r="G108" s="81">
        <v>0</v>
      </c>
      <c r="H108" s="81">
        <v>0</v>
      </c>
      <c r="I108" s="81">
        <v>0</v>
      </c>
      <c r="J108" s="81">
        <v>25</v>
      </c>
      <c r="K108" s="81">
        <v>1</v>
      </c>
    </row>
    <row r="109" spans="1:11" ht="15.75">
      <c r="A109" s="122">
        <v>9</v>
      </c>
      <c r="B109" s="79" t="s">
        <v>116</v>
      </c>
      <c r="C109" s="7"/>
      <c r="D109" s="80" t="s">
        <v>140</v>
      </c>
      <c r="E109" s="81">
        <v>15</v>
      </c>
      <c r="F109" s="81">
        <v>15</v>
      </c>
      <c r="G109" s="81">
        <v>0</v>
      </c>
      <c r="H109" s="81">
        <v>0</v>
      </c>
      <c r="I109" s="81">
        <v>0</v>
      </c>
      <c r="J109" s="81">
        <v>25</v>
      </c>
      <c r="K109" s="81">
        <v>1</v>
      </c>
    </row>
    <row r="110" spans="1:11" ht="15.75">
      <c r="A110" s="122">
        <v>10</v>
      </c>
      <c r="B110" s="79" t="s">
        <v>116</v>
      </c>
      <c r="C110" s="7"/>
      <c r="D110" s="80" t="s">
        <v>140</v>
      </c>
      <c r="E110" s="81">
        <v>15</v>
      </c>
      <c r="F110" s="81">
        <v>15</v>
      </c>
      <c r="G110" s="81">
        <v>0</v>
      </c>
      <c r="H110" s="81">
        <v>0</v>
      </c>
      <c r="I110" s="81">
        <v>0</v>
      </c>
      <c r="J110" s="81">
        <v>25</v>
      </c>
      <c r="K110" s="81">
        <v>1</v>
      </c>
    </row>
    <row r="111" spans="1:11" ht="15.75">
      <c r="A111" s="122">
        <v>11</v>
      </c>
      <c r="B111" s="79" t="s">
        <v>116</v>
      </c>
      <c r="C111" s="7"/>
      <c r="D111" s="80" t="s">
        <v>142</v>
      </c>
      <c r="E111" s="81">
        <v>15</v>
      </c>
      <c r="F111" s="81">
        <v>15</v>
      </c>
      <c r="G111" s="81">
        <v>0</v>
      </c>
      <c r="H111" s="81">
        <v>0</v>
      </c>
      <c r="I111" s="81">
        <v>0</v>
      </c>
      <c r="J111" s="81">
        <v>25</v>
      </c>
      <c r="K111" s="81">
        <v>1</v>
      </c>
    </row>
    <row r="112" spans="1:11" ht="15.75">
      <c r="A112" s="122">
        <v>12</v>
      </c>
      <c r="B112" s="79" t="s">
        <v>116</v>
      </c>
      <c r="C112" s="7"/>
      <c r="D112" s="80" t="s">
        <v>142</v>
      </c>
      <c r="E112" s="81">
        <v>15</v>
      </c>
      <c r="F112" s="81">
        <v>15</v>
      </c>
      <c r="G112" s="81">
        <v>0</v>
      </c>
      <c r="H112" s="81">
        <v>0</v>
      </c>
      <c r="I112" s="81">
        <v>0</v>
      </c>
      <c r="J112" s="81">
        <v>25</v>
      </c>
      <c r="K112" s="81">
        <v>1</v>
      </c>
    </row>
    <row r="113" spans="1:11" ht="15.75">
      <c r="A113" s="122">
        <v>13</v>
      </c>
      <c r="B113" s="79" t="s">
        <v>116</v>
      </c>
      <c r="C113" s="7"/>
      <c r="D113" s="80" t="s">
        <v>142</v>
      </c>
      <c r="E113" s="81">
        <v>15</v>
      </c>
      <c r="F113" s="81">
        <v>15</v>
      </c>
      <c r="G113" s="81">
        <v>0</v>
      </c>
      <c r="H113" s="81">
        <v>0</v>
      </c>
      <c r="I113" s="81">
        <v>0</v>
      </c>
      <c r="J113" s="81">
        <v>25</v>
      </c>
      <c r="K113" s="81">
        <v>1</v>
      </c>
    </row>
    <row r="114" spans="1:11" ht="15.75">
      <c r="A114" s="122">
        <v>14</v>
      </c>
      <c r="B114" s="79" t="s">
        <v>116</v>
      </c>
      <c r="C114" s="7"/>
      <c r="D114" s="80" t="s">
        <v>143</v>
      </c>
      <c r="E114" s="81">
        <v>15</v>
      </c>
      <c r="F114" s="81">
        <v>15</v>
      </c>
      <c r="G114" s="81">
        <v>0</v>
      </c>
      <c r="H114" s="81">
        <v>0</v>
      </c>
      <c r="I114" s="81">
        <v>0</v>
      </c>
      <c r="J114" s="81">
        <v>25</v>
      </c>
      <c r="K114" s="81">
        <v>1</v>
      </c>
    </row>
    <row r="115" spans="1:11" ht="15.75">
      <c r="A115" s="122">
        <v>15</v>
      </c>
      <c r="B115" s="79" t="s">
        <v>116</v>
      </c>
      <c r="C115" s="7"/>
      <c r="D115" s="80" t="s">
        <v>143</v>
      </c>
      <c r="E115" s="81">
        <v>15</v>
      </c>
      <c r="F115" s="81">
        <v>15</v>
      </c>
      <c r="G115" s="81">
        <v>0</v>
      </c>
      <c r="H115" s="81">
        <v>0</v>
      </c>
      <c r="I115" s="81">
        <v>0</v>
      </c>
      <c r="J115" s="81">
        <v>25</v>
      </c>
      <c r="K115" s="81">
        <v>1</v>
      </c>
    </row>
    <row r="116" spans="1:11" ht="15.75">
      <c r="A116" s="122">
        <v>16</v>
      </c>
      <c r="B116" s="79" t="s">
        <v>116</v>
      </c>
      <c r="C116" s="7"/>
      <c r="D116" s="80" t="s">
        <v>144</v>
      </c>
      <c r="E116" s="81">
        <v>15</v>
      </c>
      <c r="F116" s="81">
        <v>15</v>
      </c>
      <c r="G116" s="81">
        <v>0</v>
      </c>
      <c r="H116" s="81">
        <v>0</v>
      </c>
      <c r="I116" s="81">
        <v>0</v>
      </c>
      <c r="J116" s="81">
        <v>25</v>
      </c>
      <c r="K116" s="81">
        <v>1</v>
      </c>
    </row>
    <row r="117" spans="1:11" ht="15.75">
      <c r="A117" s="122">
        <v>17</v>
      </c>
      <c r="B117" s="79" t="s">
        <v>116</v>
      </c>
      <c r="C117" s="7"/>
      <c r="D117" s="80" t="s">
        <v>144</v>
      </c>
      <c r="E117" s="81">
        <v>15</v>
      </c>
      <c r="F117" s="81">
        <v>15</v>
      </c>
      <c r="G117" s="81">
        <v>0</v>
      </c>
      <c r="H117" s="81">
        <v>0</v>
      </c>
      <c r="I117" s="81">
        <v>0</v>
      </c>
      <c r="J117" s="81">
        <v>25</v>
      </c>
      <c r="K117" s="81">
        <v>1</v>
      </c>
    </row>
    <row r="118" spans="1:11" ht="15.75">
      <c r="A118" s="122">
        <v>18</v>
      </c>
      <c r="B118" s="79" t="s">
        <v>116</v>
      </c>
      <c r="C118" s="7"/>
      <c r="D118" s="80" t="s">
        <v>141</v>
      </c>
      <c r="E118" s="81">
        <v>15</v>
      </c>
      <c r="F118" s="81">
        <v>15</v>
      </c>
      <c r="G118" s="81">
        <v>0</v>
      </c>
      <c r="H118" s="81">
        <v>0</v>
      </c>
      <c r="I118" s="81">
        <v>0</v>
      </c>
      <c r="J118" s="81">
        <v>25</v>
      </c>
      <c r="K118" s="81">
        <v>1</v>
      </c>
    </row>
    <row r="119" spans="1:11" ht="15.75">
      <c r="A119" s="122">
        <v>19</v>
      </c>
      <c r="B119" s="79" t="s">
        <v>116</v>
      </c>
      <c r="C119" s="7"/>
      <c r="D119" s="80" t="s">
        <v>141</v>
      </c>
      <c r="E119" s="81">
        <v>15</v>
      </c>
      <c r="F119" s="81">
        <v>15</v>
      </c>
      <c r="G119" s="81">
        <v>0</v>
      </c>
      <c r="H119" s="81">
        <v>0</v>
      </c>
      <c r="I119" s="81">
        <v>0</v>
      </c>
      <c r="J119" s="81">
        <v>25</v>
      </c>
      <c r="K119" s="81">
        <v>1</v>
      </c>
    </row>
    <row r="120" spans="1:11" ht="15.75">
      <c r="A120" s="122">
        <v>20</v>
      </c>
      <c r="B120" s="79" t="s">
        <v>116</v>
      </c>
      <c r="C120" s="7"/>
      <c r="D120" s="80" t="s">
        <v>141</v>
      </c>
      <c r="E120" s="81">
        <v>15</v>
      </c>
      <c r="F120" s="81">
        <v>15</v>
      </c>
      <c r="G120" s="81">
        <v>0</v>
      </c>
      <c r="H120" s="81">
        <v>0</v>
      </c>
      <c r="I120" s="81">
        <v>0</v>
      </c>
      <c r="J120" s="81">
        <v>25</v>
      </c>
      <c r="K120" s="81">
        <v>1</v>
      </c>
    </row>
    <row r="121" spans="1:11" ht="15.75">
      <c r="A121" s="122">
        <v>21</v>
      </c>
      <c r="B121" s="79" t="s">
        <v>116</v>
      </c>
      <c r="C121" s="7"/>
      <c r="D121" s="80" t="s">
        <v>126</v>
      </c>
      <c r="E121" s="81">
        <v>35</v>
      </c>
      <c r="F121" s="81">
        <v>15</v>
      </c>
      <c r="G121" s="81">
        <v>20</v>
      </c>
      <c r="H121" s="81">
        <v>0</v>
      </c>
      <c r="I121" s="81">
        <v>0</v>
      </c>
      <c r="J121" s="81">
        <v>50</v>
      </c>
      <c r="K121" s="81">
        <v>2</v>
      </c>
    </row>
    <row r="122" spans="1:11" ht="15.75">
      <c r="A122" s="122">
        <v>22</v>
      </c>
      <c r="B122" s="79" t="s">
        <v>116</v>
      </c>
      <c r="C122" s="7"/>
      <c r="D122" s="80" t="s">
        <v>126</v>
      </c>
      <c r="E122" s="81">
        <v>35</v>
      </c>
      <c r="F122" s="81">
        <v>15</v>
      </c>
      <c r="G122" s="81">
        <v>20</v>
      </c>
      <c r="H122" s="81">
        <v>0</v>
      </c>
      <c r="I122" s="81">
        <v>0</v>
      </c>
      <c r="J122" s="81">
        <v>50</v>
      </c>
      <c r="K122" s="81">
        <v>2</v>
      </c>
    </row>
    <row r="123" spans="1:11" ht="15.75">
      <c r="A123" s="122">
        <v>23</v>
      </c>
      <c r="B123" s="79" t="s">
        <v>116</v>
      </c>
      <c r="C123" s="7"/>
      <c r="D123" s="80" t="s">
        <v>126</v>
      </c>
      <c r="E123" s="81">
        <v>35</v>
      </c>
      <c r="F123" s="81">
        <v>15</v>
      </c>
      <c r="G123" s="81">
        <v>20</v>
      </c>
      <c r="H123" s="81">
        <v>0</v>
      </c>
      <c r="I123" s="81">
        <v>0</v>
      </c>
      <c r="J123" s="81">
        <v>50</v>
      </c>
      <c r="K123" s="81">
        <v>2</v>
      </c>
    </row>
    <row r="124" spans="1:11" ht="15.75">
      <c r="A124" s="122">
        <v>24</v>
      </c>
      <c r="B124" s="79" t="s">
        <v>116</v>
      </c>
      <c r="C124" s="7"/>
      <c r="D124" s="80" t="s">
        <v>126</v>
      </c>
      <c r="E124" s="81">
        <v>35</v>
      </c>
      <c r="F124" s="81">
        <v>15</v>
      </c>
      <c r="G124" s="81">
        <v>20</v>
      </c>
      <c r="H124" s="81">
        <v>0</v>
      </c>
      <c r="I124" s="81">
        <v>0</v>
      </c>
      <c r="J124" s="81">
        <v>50</v>
      </c>
      <c r="K124" s="81">
        <v>2</v>
      </c>
    </row>
    <row r="125" spans="1:11" ht="15.75">
      <c r="A125" s="122">
        <v>25</v>
      </c>
      <c r="B125" s="79" t="s">
        <v>116</v>
      </c>
      <c r="C125" s="7"/>
      <c r="D125" s="80" t="s">
        <v>126</v>
      </c>
      <c r="E125" s="81">
        <v>15</v>
      </c>
      <c r="F125" s="81">
        <v>15</v>
      </c>
      <c r="G125" s="81">
        <v>0</v>
      </c>
      <c r="H125" s="81">
        <v>0</v>
      </c>
      <c r="I125" s="81">
        <v>0</v>
      </c>
      <c r="J125" s="81">
        <v>25</v>
      </c>
      <c r="K125" s="81">
        <v>1</v>
      </c>
    </row>
    <row r="126" spans="1:11" ht="48" customHeight="1">
      <c r="A126" s="122">
        <v>26</v>
      </c>
      <c r="B126" s="623" t="s">
        <v>262</v>
      </c>
      <c r="C126" s="624"/>
      <c r="D126" s="80" t="s">
        <v>249</v>
      </c>
      <c r="E126" s="81">
        <v>135</v>
      </c>
      <c r="F126" s="81">
        <v>0</v>
      </c>
      <c r="G126" s="81">
        <v>135</v>
      </c>
      <c r="H126" s="81">
        <v>0</v>
      </c>
      <c r="I126" s="81">
        <v>0</v>
      </c>
      <c r="J126" s="81">
        <v>225</v>
      </c>
      <c r="K126" s="81">
        <v>9</v>
      </c>
    </row>
    <row r="127" spans="1:11">
      <c r="A127" s="615" t="s">
        <v>9</v>
      </c>
      <c r="B127" s="616"/>
      <c r="C127" s="616"/>
      <c r="D127" s="617"/>
      <c r="E127" s="85">
        <f t="shared" ref="E127:K127" si="14">SUM(E101:E126)</f>
        <v>590</v>
      </c>
      <c r="F127" s="85">
        <f t="shared" si="14"/>
        <v>375</v>
      </c>
      <c r="G127" s="85">
        <f t="shared" si="14"/>
        <v>215</v>
      </c>
      <c r="H127" s="85">
        <f t="shared" si="14"/>
        <v>0</v>
      </c>
      <c r="I127" s="85">
        <f t="shared" si="14"/>
        <v>0</v>
      </c>
      <c r="J127" s="85">
        <f t="shared" si="14"/>
        <v>950</v>
      </c>
      <c r="K127" s="88">
        <f t="shared" si="14"/>
        <v>38</v>
      </c>
    </row>
    <row r="128" spans="1:11" ht="26.25" customHeight="1">
      <c r="A128" s="609" t="s">
        <v>233</v>
      </c>
      <c r="B128" s="610"/>
      <c r="C128" s="610"/>
      <c r="D128" s="611"/>
      <c r="E128" s="147">
        <f t="shared" ref="E128:J128" si="15">SUM(E8,E18,E26,E33,E47,E62,E69,E79,E89,E99,E127,)</f>
        <v>5982</v>
      </c>
      <c r="F128" s="147">
        <f t="shared" si="15"/>
        <v>1600</v>
      </c>
      <c r="G128" s="147">
        <f t="shared" si="15"/>
        <v>1817</v>
      </c>
      <c r="H128" s="147">
        <f t="shared" si="15"/>
        <v>2335</v>
      </c>
      <c r="I128" s="147">
        <f t="shared" si="15"/>
        <v>230</v>
      </c>
      <c r="J128" s="147">
        <f t="shared" si="15"/>
        <v>9297</v>
      </c>
      <c r="K128" s="147">
        <f>SUM(K127,K99,K89,K79,K69,K62,K47,K33,K26,K18,K8)</f>
        <v>364</v>
      </c>
    </row>
    <row r="136" spans="3:3">
      <c r="C136" s="144" t="s">
        <v>123</v>
      </c>
    </row>
    <row r="139" spans="3:3" ht="90">
      <c r="C139" s="263" t="s">
        <v>305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view="pageBreakPreview" topLeftCell="A94" zoomScale="80" zoomScaleNormal="80" zoomScaleSheetLayoutView="80" workbookViewId="0">
      <selection sqref="A1:K1"/>
    </sheetView>
  </sheetViews>
  <sheetFormatPr defaultRowHeight="15"/>
  <cols>
    <col min="1" max="1" width="6" style="84" customWidth="1"/>
    <col min="2" max="2" width="38.85546875" style="84" customWidth="1"/>
    <col min="3" max="3" width="21.140625" style="248" customWidth="1"/>
    <col min="4" max="4" width="11.140625" style="90" customWidth="1"/>
    <col min="5" max="5" width="7.28515625" style="83" customWidth="1"/>
    <col min="6" max="6" width="8.85546875" style="83" customWidth="1"/>
    <col min="7" max="7" width="11.28515625" style="83" customWidth="1"/>
    <col min="8" max="8" width="8.42578125" style="83" customWidth="1"/>
    <col min="9" max="9" width="5.28515625" style="83" customWidth="1"/>
    <col min="10" max="10" width="9.140625" style="83" customWidth="1"/>
    <col min="11" max="11" width="6.85546875" style="83" customWidth="1"/>
    <col min="12" max="12" width="31.140625" style="84" customWidth="1"/>
    <col min="13" max="16384" width="9.140625" style="84"/>
  </cols>
  <sheetData>
    <row r="1" spans="1:51" ht="66.75" customHeight="1">
      <c r="A1" s="608" t="s">
        <v>401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51" ht="30.75" customHeight="1">
      <c r="A2" s="627" t="s">
        <v>256</v>
      </c>
      <c r="B2" s="627"/>
      <c r="C2" s="138" t="s">
        <v>257</v>
      </c>
      <c r="D2" s="139"/>
      <c r="E2" s="140"/>
      <c r="F2" s="140"/>
      <c r="G2" s="140"/>
      <c r="H2" s="141"/>
      <c r="I2" s="141"/>
      <c r="J2" s="141"/>
      <c r="K2" s="141"/>
      <c r="L2" s="137"/>
      <c r="M2" s="137"/>
      <c r="N2" s="137"/>
      <c r="O2" s="137"/>
      <c r="P2" s="13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51" ht="78" customHeight="1">
      <c r="A3" s="629" t="s">
        <v>353</v>
      </c>
      <c r="B3" s="629"/>
      <c r="C3" s="629"/>
      <c r="D3" s="629"/>
      <c r="E3" s="143"/>
      <c r="F3" s="143"/>
      <c r="G3" s="143"/>
      <c r="H3" s="143"/>
      <c r="I3" s="143"/>
      <c r="J3" s="143"/>
      <c r="K3" s="14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51" ht="63.75" customHeight="1">
      <c r="A4" s="462" t="s">
        <v>0</v>
      </c>
      <c r="B4" s="463" t="s">
        <v>4</v>
      </c>
      <c r="C4" s="464" t="s">
        <v>361</v>
      </c>
      <c r="D4" s="465" t="s">
        <v>362</v>
      </c>
      <c r="E4" s="464" t="s">
        <v>5</v>
      </c>
      <c r="F4" s="464" t="s">
        <v>89</v>
      </c>
      <c r="G4" s="464" t="s">
        <v>88</v>
      </c>
      <c r="H4" s="464" t="s">
        <v>94</v>
      </c>
      <c r="I4" s="464" t="s">
        <v>90</v>
      </c>
      <c r="J4" s="464" t="s">
        <v>14</v>
      </c>
      <c r="K4" s="464" t="s">
        <v>6</v>
      </c>
    </row>
    <row r="5" spans="1:51" ht="15" customHeight="1">
      <c r="A5" s="431" t="s">
        <v>405</v>
      </c>
      <c r="B5" s="432"/>
      <c r="C5" s="433"/>
      <c r="D5" s="434"/>
      <c r="E5" s="435"/>
      <c r="F5" s="435"/>
      <c r="G5" s="435"/>
      <c r="H5" s="435"/>
      <c r="I5" s="436"/>
      <c r="J5" s="436"/>
      <c r="K5" s="437"/>
      <c r="L5" s="76"/>
      <c r="M5" s="76"/>
      <c r="N5" s="76"/>
      <c r="O5" s="76"/>
    </row>
    <row r="6" spans="1:51" ht="28.5" customHeight="1">
      <c r="A6" s="438">
        <v>1.1000000000000001</v>
      </c>
      <c r="B6" s="93" t="s">
        <v>18</v>
      </c>
      <c r="C6" s="163" t="str">
        <f>"0912-7LEK-B"&amp;A6&amp;"-"&amp;UPPER(LEFT(B6,1))</f>
        <v>0912-7LEK-B1,1-A</v>
      </c>
      <c r="D6" s="164" t="s">
        <v>236</v>
      </c>
      <c r="E6" s="165">
        <f>SUM(F6:I6)</f>
        <v>225</v>
      </c>
      <c r="F6" s="165">
        <f>'I rok'!Z11</f>
        <v>75</v>
      </c>
      <c r="G6" s="165">
        <f>'I rok'!AA11</f>
        <v>60</v>
      </c>
      <c r="H6" s="165">
        <f>'I rok'!AB11</f>
        <v>90</v>
      </c>
      <c r="I6" s="439">
        <f>'I rok'!AC11</f>
        <v>0</v>
      </c>
      <c r="J6" s="439">
        <f>'I rok'!AD11</f>
        <v>425</v>
      </c>
      <c r="K6" s="439">
        <f>'I rok'!AE11</f>
        <v>17</v>
      </c>
      <c r="L6" s="134"/>
      <c r="M6" s="76"/>
      <c r="N6" s="76"/>
      <c r="O6" s="76"/>
    </row>
    <row r="7" spans="1:51" ht="18.75" customHeight="1">
      <c r="A7" s="440">
        <v>1.2</v>
      </c>
      <c r="B7" s="70" t="s">
        <v>20</v>
      </c>
      <c r="C7" s="441" t="str">
        <f>"0912-7LEK-B"&amp;A7&amp;"-"&amp;UPPER(LEFT(B7,1))</f>
        <v>0912-7LEK-B1,2-H</v>
      </c>
      <c r="D7" s="442" t="s">
        <v>236</v>
      </c>
      <c r="E7" s="443">
        <f>SUM(F7:I7)</f>
        <v>100</v>
      </c>
      <c r="F7" s="443">
        <f>'I rok'!Z12</f>
        <v>35</v>
      </c>
      <c r="G7" s="443">
        <f>'I rok'!AA12</f>
        <v>35</v>
      </c>
      <c r="H7" s="443">
        <f>'I rok'!AB12</f>
        <v>30</v>
      </c>
      <c r="I7" s="444">
        <f>'I rok'!AC12</f>
        <v>0</v>
      </c>
      <c r="J7" s="444">
        <f>'I rok'!AD12</f>
        <v>225</v>
      </c>
      <c r="K7" s="444">
        <f>'I rok'!AE12</f>
        <v>9</v>
      </c>
      <c r="L7" s="76"/>
      <c r="M7" s="76"/>
      <c r="N7" s="76"/>
      <c r="O7" s="76"/>
    </row>
    <row r="8" spans="1:51">
      <c r="A8" s="633" t="s">
        <v>9</v>
      </c>
      <c r="B8" s="634"/>
      <c r="C8" s="634"/>
      <c r="D8" s="635"/>
      <c r="E8" s="445">
        <f t="shared" ref="E8:K8" si="0">SUM(E6:E7)</f>
        <v>325</v>
      </c>
      <c r="F8" s="445">
        <f t="shared" si="0"/>
        <v>110</v>
      </c>
      <c r="G8" s="445">
        <f t="shared" si="0"/>
        <v>95</v>
      </c>
      <c r="H8" s="445">
        <f t="shared" si="0"/>
        <v>120</v>
      </c>
      <c r="I8" s="445">
        <f t="shared" si="0"/>
        <v>0</v>
      </c>
      <c r="J8" s="445">
        <f t="shared" si="0"/>
        <v>650</v>
      </c>
      <c r="K8" s="445">
        <f t="shared" si="0"/>
        <v>26</v>
      </c>
      <c r="L8" s="76"/>
      <c r="M8" s="76"/>
      <c r="N8" s="76"/>
      <c r="O8" s="76"/>
    </row>
    <row r="9" spans="1:51">
      <c r="A9" s="630" t="s">
        <v>406</v>
      </c>
      <c r="B9" s="631"/>
      <c r="C9" s="631"/>
      <c r="D9" s="631"/>
      <c r="E9" s="631"/>
      <c r="F9" s="631"/>
      <c r="G9" s="631"/>
      <c r="H9" s="631"/>
      <c r="I9" s="631"/>
      <c r="J9" s="631"/>
      <c r="K9" s="632"/>
      <c r="L9" s="293"/>
    </row>
    <row r="10" spans="1:51" ht="18.75" customHeight="1">
      <c r="A10" s="438">
        <v>2.1</v>
      </c>
      <c r="B10" s="93" t="s">
        <v>35</v>
      </c>
      <c r="C10" s="163" t="s">
        <v>393</v>
      </c>
      <c r="D10" s="164" t="s">
        <v>239</v>
      </c>
      <c r="E10" s="165">
        <f>SUM(F10:I10)</f>
        <v>55</v>
      </c>
      <c r="F10" s="165">
        <f>'II rok'!Z11</f>
        <v>25</v>
      </c>
      <c r="G10" s="165">
        <f>'II rok'!AA11</f>
        <v>15</v>
      </c>
      <c r="H10" s="165">
        <f>'II rok'!AB11</f>
        <v>0</v>
      </c>
      <c r="I10" s="165">
        <f>'II rok'!AC11</f>
        <v>15</v>
      </c>
      <c r="J10" s="165">
        <f>'II rok'!AD11</f>
        <v>100</v>
      </c>
      <c r="K10" s="165">
        <f>'II rok'!AE11</f>
        <v>4</v>
      </c>
      <c r="L10" s="294"/>
    </row>
    <row r="11" spans="1:51" ht="18.75" customHeight="1">
      <c r="A11" s="440">
        <v>2.2000000000000002</v>
      </c>
      <c r="B11" s="70" t="s">
        <v>36</v>
      </c>
      <c r="C11" s="441" t="str">
        <f>"0912-7LEK-B"&amp;A11&amp;"-"&amp;UPPER(LEFT(B11,1))&amp;"BK"</f>
        <v>0912-7LEK-B2,2-PBK</v>
      </c>
      <c r="D11" s="442">
        <v>2</v>
      </c>
      <c r="E11" s="165">
        <f t="shared" ref="E11:E17" si="1">SUM(F11:I11)</f>
        <v>65</v>
      </c>
      <c r="F11" s="443">
        <f>'I rok'!Z15</f>
        <v>35</v>
      </c>
      <c r="G11" s="443">
        <f>'I rok'!AA15</f>
        <v>10</v>
      </c>
      <c r="H11" s="443">
        <f>'I rok'!AB15</f>
        <v>0</v>
      </c>
      <c r="I11" s="443">
        <f>'I rok'!AC15</f>
        <v>20</v>
      </c>
      <c r="J11" s="443">
        <f>'I rok'!AD15</f>
        <v>125</v>
      </c>
      <c r="K11" s="443">
        <f>'I rok'!AE15</f>
        <v>5</v>
      </c>
      <c r="L11" s="294"/>
    </row>
    <row r="12" spans="1:51" ht="15.75">
      <c r="A12" s="440">
        <v>2.2999999999999998</v>
      </c>
      <c r="B12" s="70" t="s">
        <v>37</v>
      </c>
      <c r="C12" s="441" t="str">
        <f>"0912-7LEK-B"&amp;A12&amp;"-"&amp;UPPER(LEFT(B12,1))</f>
        <v>0912-7LEK-B2,3-C</v>
      </c>
      <c r="D12" s="442">
        <v>1</v>
      </c>
      <c r="E12" s="165">
        <f t="shared" si="1"/>
        <v>45</v>
      </c>
      <c r="F12" s="443">
        <f>'I rok'!Z16</f>
        <v>25</v>
      </c>
      <c r="G12" s="443">
        <f>'I rok'!AA16</f>
        <v>0</v>
      </c>
      <c r="H12" s="443">
        <f>'I rok'!AB16</f>
        <v>0</v>
      </c>
      <c r="I12" s="443">
        <f>'I rok'!AC16</f>
        <v>20</v>
      </c>
      <c r="J12" s="443">
        <f>'I rok'!AD16</f>
        <v>100</v>
      </c>
      <c r="K12" s="443">
        <f>'I rok'!AE16</f>
        <v>4</v>
      </c>
      <c r="L12" s="294"/>
    </row>
    <row r="13" spans="1:51" ht="18.75" customHeight="1">
      <c r="A13" s="440">
        <v>2.4</v>
      </c>
      <c r="B13" s="446" t="s">
        <v>38</v>
      </c>
      <c r="C13" s="441" t="str">
        <f>"0912-7LEK-B"&amp;A13&amp;"-"&amp;UPPER(LEFT(B13,1))&amp;"ch"</f>
        <v>0912-7LEK-B2,4-Bch</v>
      </c>
      <c r="D13" s="442">
        <v>3</v>
      </c>
      <c r="E13" s="165">
        <f t="shared" si="1"/>
        <v>55</v>
      </c>
      <c r="F13" s="443">
        <f>'II rok'!Z12</f>
        <v>35</v>
      </c>
      <c r="G13" s="443">
        <f>'II rok'!AA12</f>
        <v>0</v>
      </c>
      <c r="H13" s="443">
        <f>'II rok'!AB12</f>
        <v>0</v>
      </c>
      <c r="I13" s="443">
        <f>'II rok'!AC12</f>
        <v>20</v>
      </c>
      <c r="J13" s="443">
        <f>'II rok'!AD12</f>
        <v>125</v>
      </c>
      <c r="K13" s="443">
        <f>'II rok'!AE12</f>
        <v>5</v>
      </c>
      <c r="L13" s="294"/>
      <c r="U13" s="510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/>
      <c r="AX13" s="511"/>
      <c r="AY13" s="511"/>
    </row>
    <row r="14" spans="1:51" ht="18.75" customHeight="1">
      <c r="A14" s="440">
        <v>2.5</v>
      </c>
      <c r="B14" s="70" t="s">
        <v>39</v>
      </c>
      <c r="C14" s="441" t="str">
        <f>"0912-7LEK-B"&amp;A14&amp;"-"&amp;UPPER(LEFT(B14,1))&amp;"zC"</f>
        <v>0912-7LEK-B2,5-FzC</v>
      </c>
      <c r="D14" s="442" t="s">
        <v>247</v>
      </c>
      <c r="E14" s="165">
        <f t="shared" si="1"/>
        <v>170</v>
      </c>
      <c r="F14" s="443">
        <f>'II rok'!Z13</f>
        <v>60</v>
      </c>
      <c r="G14" s="443">
        <f>'II rok'!AA13</f>
        <v>50</v>
      </c>
      <c r="H14" s="443">
        <f>'II rok'!AB13</f>
        <v>0</v>
      </c>
      <c r="I14" s="443">
        <f>'II rok'!AC13</f>
        <v>60</v>
      </c>
      <c r="J14" s="443">
        <f>'II rok'!AD13</f>
        <v>400</v>
      </c>
      <c r="K14" s="443">
        <f>'II rok'!AE13</f>
        <v>16</v>
      </c>
      <c r="L14" s="294"/>
      <c r="U14" s="524"/>
      <c r="V14" s="524"/>
      <c r="W14" s="49"/>
      <c r="X14" s="10"/>
      <c r="Y14" s="47"/>
      <c r="Z14" s="47"/>
      <c r="AA14" s="47"/>
      <c r="AB14" s="526"/>
      <c r="AC14" s="526"/>
      <c r="AD14" s="526"/>
      <c r="AE14" s="526"/>
      <c r="AF14" s="526"/>
      <c r="AG14" s="526"/>
      <c r="AH14" s="526"/>
      <c r="AI14" s="526"/>
      <c r="AJ14" s="52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35.25" customHeight="1">
      <c r="A15" s="440">
        <v>2.6</v>
      </c>
      <c r="B15" s="70" t="s">
        <v>93</v>
      </c>
      <c r="C15" s="441" t="str">
        <f>"0912-7LEK-B"&amp;A15&amp;"-"&amp;UPPER(LEFT(B15,1))&amp;"zI"</f>
        <v>0912-7LEK-B2,6-BzI</v>
      </c>
      <c r="D15" s="442" t="s">
        <v>236</v>
      </c>
      <c r="E15" s="165">
        <f t="shared" si="1"/>
        <v>75</v>
      </c>
      <c r="F15" s="443">
        <f>'I rok'!Z17</f>
        <v>40</v>
      </c>
      <c r="G15" s="443">
        <f>'I rok'!AA17</f>
        <v>35</v>
      </c>
      <c r="H15" s="443">
        <f>'I rok'!AB17</f>
        <v>0</v>
      </c>
      <c r="I15" s="443">
        <f>'I rok'!AC17</f>
        <v>0</v>
      </c>
      <c r="J15" s="443">
        <f>'I rok'!AD17</f>
        <v>150</v>
      </c>
      <c r="K15" s="443">
        <f>'I rok'!AE17</f>
        <v>6</v>
      </c>
      <c r="L15" s="294"/>
    </row>
    <row r="16" spans="1:51" ht="32.25" customHeight="1">
      <c r="A16" s="440">
        <v>2.7</v>
      </c>
      <c r="B16" s="70" t="s">
        <v>91</v>
      </c>
      <c r="C16" s="441" t="str">
        <f>"0912-7LEK-B"&amp;A16&amp;"-"&amp;UPPER(LEFT(B16,1))&amp;"P"</f>
        <v>0912-7LEK-B2,7-PP</v>
      </c>
      <c r="D16" s="442">
        <v>2</v>
      </c>
      <c r="E16" s="165">
        <f t="shared" si="1"/>
        <v>40</v>
      </c>
      <c r="F16" s="443">
        <f>'I rok'!Z18</f>
        <v>0</v>
      </c>
      <c r="G16" s="443">
        <f>'I rok'!AA18</f>
        <v>20</v>
      </c>
      <c r="H16" s="443">
        <f>'I rok'!AB18</f>
        <v>20</v>
      </c>
      <c r="I16" s="443">
        <f>'I rok'!AC18</f>
        <v>0</v>
      </c>
      <c r="J16" s="443">
        <f>'I rok'!AD18</f>
        <v>75</v>
      </c>
      <c r="K16" s="443">
        <f>'I rok'!AE18</f>
        <v>3</v>
      </c>
      <c r="X16" s="280"/>
    </row>
    <row r="17" spans="1:51" ht="32.25" customHeight="1">
      <c r="A17" s="447">
        <v>2.8</v>
      </c>
      <c r="B17" s="70" t="s">
        <v>432</v>
      </c>
      <c r="C17" s="448" t="s">
        <v>331</v>
      </c>
      <c r="D17" s="449" t="s">
        <v>126</v>
      </c>
      <c r="E17" s="165" t="e">
        <f t="shared" si="1"/>
        <v>#REF!</v>
      </c>
      <c r="F17" s="450" t="e">
        <f>#REF!</f>
        <v>#REF!</v>
      </c>
      <c r="G17" s="450" t="e">
        <f>#REF!</f>
        <v>#REF!</v>
      </c>
      <c r="H17" s="450" t="e">
        <f>#REF!</f>
        <v>#REF!</v>
      </c>
      <c r="I17" s="450" t="e">
        <f>#REF!</f>
        <v>#REF!</v>
      </c>
      <c r="J17" s="450" t="e">
        <f>#REF!</f>
        <v>#REF!</v>
      </c>
      <c r="K17" s="450" t="e">
        <f>#REF!</f>
        <v>#REF!</v>
      </c>
      <c r="L17" s="294"/>
    </row>
    <row r="18" spans="1:51" ht="17.25" customHeight="1">
      <c r="A18" s="633" t="s">
        <v>9</v>
      </c>
      <c r="B18" s="634"/>
      <c r="C18" s="634"/>
      <c r="D18" s="635"/>
      <c r="E18" s="445" t="e">
        <f t="shared" ref="E18:K18" si="2">SUM(E10:E17)</f>
        <v>#REF!</v>
      </c>
      <c r="F18" s="445" t="e">
        <f t="shared" si="2"/>
        <v>#REF!</v>
      </c>
      <c r="G18" s="445" t="e">
        <f t="shared" si="2"/>
        <v>#REF!</v>
      </c>
      <c r="H18" s="445" t="e">
        <f t="shared" si="2"/>
        <v>#REF!</v>
      </c>
      <c r="I18" s="445" t="e">
        <f t="shared" si="2"/>
        <v>#REF!</v>
      </c>
      <c r="J18" s="445" t="e">
        <f t="shared" si="2"/>
        <v>#REF!</v>
      </c>
      <c r="K18" s="445" t="e">
        <f t="shared" si="2"/>
        <v>#REF!</v>
      </c>
    </row>
    <row r="19" spans="1:51">
      <c r="A19" s="630" t="s">
        <v>417</v>
      </c>
      <c r="B19" s="631"/>
      <c r="C19" s="631"/>
      <c r="D19" s="631"/>
      <c r="E19" s="631"/>
      <c r="F19" s="631"/>
      <c r="G19" s="631"/>
      <c r="H19" s="631"/>
      <c r="I19" s="631"/>
      <c r="J19" s="631"/>
      <c r="K19" s="632"/>
      <c r="L19" s="292"/>
    </row>
    <row r="20" spans="1:51" ht="15.75">
      <c r="A20" s="438">
        <v>3.1</v>
      </c>
      <c r="B20" s="93" t="s">
        <v>41</v>
      </c>
      <c r="C20" s="163" t="str">
        <f t="shared" ref="C20:C25" si="3">"0912-7LEK-C"&amp;A20&amp;"-"&amp;UPPER(LEFT(B20,1))</f>
        <v>0912-7LEK-C3,1-G</v>
      </c>
      <c r="D20" s="164">
        <v>3</v>
      </c>
      <c r="E20" s="165">
        <f>SUM(F20:I20)</f>
        <v>35</v>
      </c>
      <c r="F20" s="165">
        <f>'II rok'!Z16</f>
        <v>15</v>
      </c>
      <c r="G20" s="165">
        <f>'II rok'!AA16</f>
        <v>20</v>
      </c>
      <c r="H20" s="165">
        <f>'II rok'!AB16</f>
        <v>0</v>
      </c>
      <c r="I20" s="165">
        <f>'II rok'!AC16</f>
        <v>0</v>
      </c>
      <c r="J20" s="165">
        <f>'II rok'!AD16</f>
        <v>50</v>
      </c>
      <c r="K20" s="165">
        <f>'II rok'!AE16</f>
        <v>2</v>
      </c>
      <c r="L20" s="292"/>
    </row>
    <row r="21" spans="1:51" ht="15.75">
      <c r="A21" s="440">
        <v>3.2</v>
      </c>
      <c r="B21" s="70" t="s">
        <v>42</v>
      </c>
      <c r="C21" s="441" t="str">
        <f t="shared" si="3"/>
        <v>0912-7LEK-C3,2-M</v>
      </c>
      <c r="D21" s="442" t="s">
        <v>247</v>
      </c>
      <c r="E21" s="165">
        <f>SUM(F21:I21)</f>
        <v>75</v>
      </c>
      <c r="F21" s="165">
        <f>'II rok'!Z17</f>
        <v>20</v>
      </c>
      <c r="G21" s="165">
        <f>'II rok'!AA17</f>
        <v>30</v>
      </c>
      <c r="H21" s="165">
        <f>'II rok'!AB17</f>
        <v>0</v>
      </c>
      <c r="I21" s="165">
        <f>'II rok'!AC17</f>
        <v>25</v>
      </c>
      <c r="J21" s="165">
        <f>'II rok'!AD17</f>
        <v>150</v>
      </c>
      <c r="K21" s="165">
        <f>'II rok'!AE17</f>
        <v>6</v>
      </c>
      <c r="L21" s="294"/>
    </row>
    <row r="22" spans="1:51" ht="15.75">
      <c r="A22" s="440">
        <v>3.3</v>
      </c>
      <c r="B22" s="70" t="s">
        <v>43</v>
      </c>
      <c r="C22" s="441" t="str">
        <f t="shared" si="3"/>
        <v>0912-7LEK-C3,3-P</v>
      </c>
      <c r="D22" s="442">
        <v>4</v>
      </c>
      <c r="E22" s="165">
        <f>SUM(F22:I22)</f>
        <v>35</v>
      </c>
      <c r="F22" s="165">
        <f>'II rok'!Z18</f>
        <v>15</v>
      </c>
      <c r="G22" s="165">
        <f>'II rok'!AA18</f>
        <v>10</v>
      </c>
      <c r="H22" s="165">
        <f>'II rok'!AB18</f>
        <v>0</v>
      </c>
      <c r="I22" s="165">
        <f>'II rok'!AC18</f>
        <v>10</v>
      </c>
      <c r="J22" s="165">
        <f>'II rok'!AD18</f>
        <v>50</v>
      </c>
      <c r="K22" s="165">
        <f>'II rok'!AE18</f>
        <v>2</v>
      </c>
    </row>
    <row r="23" spans="1:51" ht="15.75">
      <c r="A23" s="440">
        <v>3.4</v>
      </c>
      <c r="B23" s="70" t="s">
        <v>44</v>
      </c>
      <c r="C23" s="441" t="str">
        <f t="shared" si="3"/>
        <v>0912-7LEK-C3,4-I</v>
      </c>
      <c r="D23" s="442" t="s">
        <v>140</v>
      </c>
      <c r="E23" s="165">
        <f t="shared" ref="E23:E26" si="4">SUM(F23:I23)</f>
        <v>40</v>
      </c>
      <c r="F23" s="165">
        <f>'II rok'!Z19</f>
        <v>15</v>
      </c>
      <c r="G23" s="165">
        <f>'II rok'!AA19</f>
        <v>10</v>
      </c>
      <c r="H23" s="165">
        <f>'II rok'!AB19</f>
        <v>0</v>
      </c>
      <c r="I23" s="165">
        <f>'II rok'!AC19</f>
        <v>15</v>
      </c>
      <c r="J23" s="165">
        <f>'II rok'!AD19</f>
        <v>75</v>
      </c>
      <c r="K23" s="165">
        <f>'II rok'!AE19</f>
        <v>3</v>
      </c>
    </row>
    <row r="24" spans="1:51" ht="15.75">
      <c r="A24" s="440">
        <v>3.5</v>
      </c>
      <c r="B24" s="70" t="s">
        <v>45</v>
      </c>
      <c r="C24" s="441" t="str">
        <f t="shared" si="3"/>
        <v>0912-7LEK-C3,5-P</v>
      </c>
      <c r="D24" s="442" t="s">
        <v>248</v>
      </c>
      <c r="E24" s="165">
        <f t="shared" si="4"/>
        <v>130</v>
      </c>
      <c r="F24" s="443">
        <f>'III rok'!Z11</f>
        <v>40</v>
      </c>
      <c r="G24" s="443">
        <f>'III rok'!AA11</f>
        <v>90</v>
      </c>
      <c r="H24" s="443">
        <f>'III rok'!AB11</f>
        <v>0</v>
      </c>
      <c r="I24" s="443">
        <f>'III rok'!AC11</f>
        <v>0</v>
      </c>
      <c r="J24" s="443">
        <f>'III rok'!AD11</f>
        <v>275</v>
      </c>
      <c r="K24" s="443">
        <f>'III rok'!AE11</f>
        <v>11</v>
      </c>
    </row>
    <row r="25" spans="1:51" ht="15.75">
      <c r="A25" s="440">
        <v>3.6</v>
      </c>
      <c r="B25" s="70" t="s">
        <v>46</v>
      </c>
      <c r="C25" s="441" t="str">
        <f t="shared" si="3"/>
        <v>0912-7LEK-C3,6-F</v>
      </c>
      <c r="D25" s="442" t="s">
        <v>248</v>
      </c>
      <c r="E25" s="165">
        <f t="shared" si="4"/>
        <v>125</v>
      </c>
      <c r="F25" s="443">
        <f>'III rok'!Z12</f>
        <v>45</v>
      </c>
      <c r="G25" s="443">
        <f>'III rok'!AA12</f>
        <v>80</v>
      </c>
      <c r="H25" s="443">
        <f>'III rok'!AB12</f>
        <v>0</v>
      </c>
      <c r="I25" s="443">
        <f>'III rok'!AC12</f>
        <v>0</v>
      </c>
      <c r="J25" s="443">
        <f>'III rok'!AD12</f>
        <v>300</v>
      </c>
      <c r="K25" s="443">
        <f>'III rok'!AE12</f>
        <v>12</v>
      </c>
    </row>
    <row r="26" spans="1:51" ht="15.75">
      <c r="A26" s="440">
        <v>3.7</v>
      </c>
      <c r="B26" s="70" t="s">
        <v>127</v>
      </c>
      <c r="C26" s="441" t="s">
        <v>332</v>
      </c>
      <c r="D26" s="442" t="s">
        <v>140</v>
      </c>
      <c r="E26" s="165">
        <f t="shared" si="4"/>
        <v>15</v>
      </c>
      <c r="F26" s="443">
        <f>'II rok'!Z20</f>
        <v>15</v>
      </c>
      <c r="G26" s="443">
        <f>'II rok'!AA20</f>
        <v>0</v>
      </c>
      <c r="H26" s="443">
        <f>'II rok'!AB20</f>
        <v>0</v>
      </c>
      <c r="I26" s="443">
        <f>'II rok'!AC20</f>
        <v>0</v>
      </c>
      <c r="J26" s="443">
        <f>'II rok'!AD20</f>
        <v>25</v>
      </c>
      <c r="K26" s="443">
        <f>'II rok'!AE20</f>
        <v>1</v>
      </c>
    </row>
    <row r="27" spans="1:51" s="289" customFormat="1" ht="23.25">
      <c r="A27" s="440">
        <v>3.8</v>
      </c>
      <c r="B27" s="70" t="s">
        <v>40</v>
      </c>
      <c r="C27" s="441" t="s">
        <v>335</v>
      </c>
      <c r="D27" s="442" t="s">
        <v>248</v>
      </c>
      <c r="E27" s="165">
        <f>SUM(F27:I27)</f>
        <v>70</v>
      </c>
      <c r="F27" s="443">
        <f>'III rok'!Z13</f>
        <v>30</v>
      </c>
      <c r="G27" s="443">
        <f>'III rok'!AA13</f>
        <v>40</v>
      </c>
      <c r="H27" s="443">
        <f>'III rok'!AB13</f>
        <v>0</v>
      </c>
      <c r="I27" s="443">
        <f>'III rok'!AC13</f>
        <v>0</v>
      </c>
      <c r="J27" s="443">
        <f>'III rok'!AD13</f>
        <v>175</v>
      </c>
      <c r="K27" s="443">
        <f>'III rok'!AE13</f>
        <v>7</v>
      </c>
      <c r="U27" s="636"/>
      <c r="V27" s="636"/>
      <c r="W27" s="290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</row>
    <row r="28" spans="1:51">
      <c r="A28" s="633" t="s">
        <v>9</v>
      </c>
      <c r="B28" s="634"/>
      <c r="C28" s="634"/>
      <c r="D28" s="635"/>
      <c r="E28" s="445">
        <f>SUM(E20:E27)</f>
        <v>525</v>
      </c>
      <c r="F28" s="445">
        <f>SUM(F20:F27)</f>
        <v>195</v>
      </c>
      <c r="G28" s="445">
        <f>SUM(G20:G27)</f>
        <v>280</v>
      </c>
      <c r="H28" s="445">
        <f t="shared" ref="H28" si="5">SUM(H20:H26)</f>
        <v>0</v>
      </c>
      <c r="I28" s="445">
        <f>SUM(I20:I27)</f>
        <v>50</v>
      </c>
      <c r="J28" s="445">
        <f>SUM(J20:J27)</f>
        <v>1100</v>
      </c>
      <c r="K28" s="445">
        <f>SUM(K20:K27)</f>
        <v>44</v>
      </c>
    </row>
    <row r="29" spans="1:51">
      <c r="A29" s="630" t="s">
        <v>407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2"/>
    </row>
    <row r="30" spans="1:51" ht="15.75">
      <c r="A30" s="417">
        <v>4.0999999999999996</v>
      </c>
      <c r="B30" s="93" t="s">
        <v>47</v>
      </c>
      <c r="C30" s="163" t="str">
        <f>"0912-7LEK-B"&amp;A30&amp;"-"&amp;UPPER(LEFT(B30,1))</f>
        <v>0912-7LEK-B4,1-S</v>
      </c>
      <c r="D30" s="164">
        <v>2</v>
      </c>
      <c r="E30" s="165">
        <f>SUM(F30:I30)</f>
        <v>15</v>
      </c>
      <c r="F30" s="165">
        <f>'I rok'!Z21</f>
        <v>15</v>
      </c>
      <c r="G30" s="165">
        <f>'I rok'!AA21</f>
        <v>0</v>
      </c>
      <c r="H30" s="165">
        <f>'I rok'!AB21</f>
        <v>0</v>
      </c>
      <c r="I30" s="165">
        <f>'I rok'!AC21</f>
        <v>0</v>
      </c>
      <c r="J30" s="165">
        <f>'I rok'!AD21</f>
        <v>25</v>
      </c>
      <c r="K30" s="165">
        <f>'I rok'!AE21</f>
        <v>1</v>
      </c>
    </row>
    <row r="31" spans="1:51" ht="15.75">
      <c r="A31" s="440">
        <v>4.2</v>
      </c>
      <c r="B31" s="70" t="s">
        <v>48</v>
      </c>
      <c r="C31" s="441" t="str">
        <f>"0912-7LEK-B"&amp;A31&amp;"-"&amp;UPPER(LEFT(B31,1))</f>
        <v>0912-7LEK-B4,2-P</v>
      </c>
      <c r="D31" s="442" t="s">
        <v>237</v>
      </c>
      <c r="E31" s="165">
        <f t="shared" ref="E31:E36" si="6">SUM(F31:I31)</f>
        <v>15</v>
      </c>
      <c r="F31" s="165">
        <f>'I rok'!Z22</f>
        <v>15</v>
      </c>
      <c r="G31" s="165">
        <f>'I rok'!AA22</f>
        <v>0</v>
      </c>
      <c r="H31" s="165">
        <f>'I rok'!AB22</f>
        <v>0</v>
      </c>
      <c r="I31" s="165">
        <f>'I rok'!AC22</f>
        <v>0</v>
      </c>
      <c r="J31" s="165">
        <f>'I rok'!AD22</f>
        <v>25</v>
      </c>
      <c r="K31" s="165">
        <f>'I rok'!AE22</f>
        <v>1</v>
      </c>
    </row>
    <row r="32" spans="1:51" ht="15.75">
      <c r="A32" s="423">
        <v>4.3</v>
      </c>
      <c r="B32" s="70" t="s">
        <v>49</v>
      </c>
      <c r="C32" s="441" t="str">
        <f>"0912-7LEK-B"&amp;A32&amp;"-"&amp;UPPER(LEFT(B32,1))</f>
        <v>0912-7LEK-B4,3-E</v>
      </c>
      <c r="D32" s="442">
        <v>1</v>
      </c>
      <c r="E32" s="165">
        <f t="shared" si="6"/>
        <v>15</v>
      </c>
      <c r="F32" s="165">
        <f>'I rok'!Z23</f>
        <v>15</v>
      </c>
      <c r="G32" s="165">
        <f>'I rok'!AA23</f>
        <v>0</v>
      </c>
      <c r="H32" s="165">
        <f>'I rok'!AB23</f>
        <v>0</v>
      </c>
      <c r="I32" s="165">
        <f>'I rok'!AC23</f>
        <v>0</v>
      </c>
      <c r="J32" s="165">
        <f>'I rok'!AD23</f>
        <v>25</v>
      </c>
      <c r="K32" s="165">
        <f>'I rok'!AE23</f>
        <v>1</v>
      </c>
    </row>
    <row r="33" spans="1:11" ht="15.75">
      <c r="A33" s="440">
        <v>4.4000000000000004</v>
      </c>
      <c r="B33" s="70" t="s">
        <v>92</v>
      </c>
      <c r="C33" s="441" t="str">
        <f>"0912-7LEK-B"&amp;A33&amp;"-"&amp;UPPER(LEFT(B33,1))</f>
        <v>0912-7LEK-B4,4-E</v>
      </c>
      <c r="D33" s="442">
        <v>1</v>
      </c>
      <c r="E33" s="165">
        <f t="shared" si="6"/>
        <v>15</v>
      </c>
      <c r="F33" s="165">
        <f>'I rok'!Z24</f>
        <v>15</v>
      </c>
      <c r="G33" s="165">
        <f>'I rok'!AA24</f>
        <v>0</v>
      </c>
      <c r="H33" s="165">
        <f>'I rok'!AB24</f>
        <v>0</v>
      </c>
      <c r="I33" s="165">
        <f>'I rok'!AC24</f>
        <v>0</v>
      </c>
      <c r="J33" s="165">
        <f>'I rok'!AD24</f>
        <v>25</v>
      </c>
      <c r="K33" s="165">
        <f>'I rok'!AE24</f>
        <v>1</v>
      </c>
    </row>
    <row r="34" spans="1:11" ht="15.75">
      <c r="A34" s="417">
        <v>4.5</v>
      </c>
      <c r="B34" s="70" t="s">
        <v>50</v>
      </c>
      <c r="C34" s="441" t="str">
        <f>"0912-7LEK-B"&amp;A34&amp;"-"&amp;UPPER(LEFT(B34,1))</f>
        <v>0912-7LEK-B4,5-H</v>
      </c>
      <c r="D34" s="442" t="s">
        <v>237</v>
      </c>
      <c r="E34" s="165">
        <f t="shared" si="6"/>
        <v>30</v>
      </c>
      <c r="F34" s="165">
        <f>'I rok'!Z25</f>
        <v>30</v>
      </c>
      <c r="G34" s="165">
        <f>'I rok'!AA25</f>
        <v>0</v>
      </c>
      <c r="H34" s="165">
        <f>'I rok'!AB25</f>
        <v>0</v>
      </c>
      <c r="I34" s="165">
        <f>'I rok'!AC25</f>
        <v>0</v>
      </c>
      <c r="J34" s="165">
        <f>'I rok'!AD25</f>
        <v>50</v>
      </c>
      <c r="K34" s="165">
        <f>'I rok'!AE25</f>
        <v>2</v>
      </c>
    </row>
    <row r="35" spans="1:11" ht="15.75">
      <c r="A35" s="423">
        <v>4.5999999999999996</v>
      </c>
      <c r="B35" s="451" t="s">
        <v>17</v>
      </c>
      <c r="C35" s="441" t="str">
        <f>"0912-7LEK-A"&amp;A35&amp;"-"&amp;UPPER(LEFT(B35,1))&amp;"A"</f>
        <v>0912-7LEK-A4,6-JA</v>
      </c>
      <c r="D35" s="442" t="s">
        <v>235</v>
      </c>
      <c r="E35" s="165">
        <f t="shared" si="6"/>
        <v>120</v>
      </c>
      <c r="F35" s="443">
        <f>'I rok'!Z26+'II rok'!Z23</f>
        <v>0</v>
      </c>
      <c r="G35" s="443">
        <f>'I rok'!AA26+'II rok'!AA23</f>
        <v>120</v>
      </c>
      <c r="H35" s="165">
        <f>'I rok'!AB26</f>
        <v>0</v>
      </c>
      <c r="I35" s="443">
        <f>'I rok'!AC26+'II rok'!AC23</f>
        <v>0</v>
      </c>
      <c r="J35" s="443">
        <f>'I rok'!AD26+'II rok'!AD23</f>
        <v>180</v>
      </c>
      <c r="K35" s="443">
        <f>'I rok'!AE26+'II rok'!AE23</f>
        <v>6</v>
      </c>
    </row>
    <row r="36" spans="1:11" ht="39.75" customHeight="1">
      <c r="A36" s="423">
        <v>4.7</v>
      </c>
      <c r="B36" s="70" t="s">
        <v>314</v>
      </c>
      <c r="C36" s="441" t="s">
        <v>398</v>
      </c>
      <c r="D36" s="442" t="s">
        <v>140</v>
      </c>
      <c r="E36" s="165">
        <f t="shared" si="6"/>
        <v>30</v>
      </c>
      <c r="F36" s="443">
        <f>'II rok'!Z24</f>
        <v>20</v>
      </c>
      <c r="G36" s="443">
        <f>'II rok'!AA24</f>
        <v>10</v>
      </c>
      <c r="H36" s="443">
        <f>'II rok'!AB24</f>
        <v>0</v>
      </c>
      <c r="I36" s="443">
        <f>'II rok'!AC24</f>
        <v>0</v>
      </c>
      <c r="J36" s="443">
        <f>'II rok'!AD24</f>
        <v>50</v>
      </c>
      <c r="K36" s="443">
        <f>'II rok'!AE24</f>
        <v>2</v>
      </c>
    </row>
    <row r="37" spans="1:11">
      <c r="A37" s="633" t="s">
        <v>9</v>
      </c>
      <c r="B37" s="634"/>
      <c r="C37" s="634"/>
      <c r="D37" s="635"/>
      <c r="E37" s="445">
        <f t="shared" ref="E37:K37" si="7">SUM(E30:E36)</f>
        <v>240</v>
      </c>
      <c r="F37" s="445">
        <f t="shared" si="7"/>
        <v>110</v>
      </c>
      <c r="G37" s="445">
        <f t="shared" si="7"/>
        <v>130</v>
      </c>
      <c r="H37" s="445">
        <f t="shared" si="7"/>
        <v>0</v>
      </c>
      <c r="I37" s="445">
        <f t="shared" si="7"/>
        <v>0</v>
      </c>
      <c r="J37" s="445">
        <f t="shared" si="7"/>
        <v>380</v>
      </c>
      <c r="K37" s="445">
        <f t="shared" si="7"/>
        <v>14</v>
      </c>
    </row>
    <row r="38" spans="1:11">
      <c r="A38" s="630" t="s">
        <v>419</v>
      </c>
      <c r="B38" s="631"/>
      <c r="C38" s="631"/>
      <c r="D38" s="631"/>
      <c r="E38" s="631"/>
      <c r="F38" s="631"/>
      <c r="G38" s="631"/>
      <c r="H38" s="631"/>
      <c r="I38" s="631"/>
      <c r="J38" s="631"/>
      <c r="K38" s="632"/>
    </row>
    <row r="39" spans="1:11" ht="15.75">
      <c r="A39" s="417">
        <v>5.0999999999999996</v>
      </c>
      <c r="B39" s="93" t="s">
        <v>51</v>
      </c>
      <c r="C39" s="163" t="str">
        <f>"0912-7LEK-C"&amp;A39&amp;"-"&amp;UPPER(LEFT(B39,1))</f>
        <v>0912-7LEK-C5,1-P</v>
      </c>
      <c r="D39" s="164" t="s">
        <v>450</v>
      </c>
      <c r="E39" s="165" t="e">
        <f>SUM(F39:I39)</f>
        <v>#REF!</v>
      </c>
      <c r="F39" s="165" t="e">
        <f>'III rok'!Z16+'IV rok'!Z11+#REF!</f>
        <v>#REF!</v>
      </c>
      <c r="G39" s="165" t="e">
        <f>'III rok'!AA16+'IV rok'!AA11+#REF!</f>
        <v>#REF!</v>
      </c>
      <c r="H39" s="165" t="e">
        <f>'III rok'!AB16+'IV rok'!AB11+#REF!</f>
        <v>#REF!</v>
      </c>
      <c r="I39" s="165" t="e">
        <f>'III rok'!AC16+'IV rok'!AC11+#REF!</f>
        <v>#REF!</v>
      </c>
      <c r="J39" s="165" t="e">
        <f>'III rok'!AD16+'IV rok'!AD11+#REF!</f>
        <v>#REF!</v>
      </c>
      <c r="K39" s="165" t="e">
        <f>'III rok'!AE16+'IV rok'!AE11+#REF!</f>
        <v>#REF!</v>
      </c>
    </row>
    <row r="40" spans="1:11" ht="15.75">
      <c r="A40" s="423">
        <v>5.2</v>
      </c>
      <c r="B40" s="70" t="s">
        <v>80</v>
      </c>
      <c r="C40" s="441" t="str">
        <f>"0912-7LEK-C"&amp;A40&amp;"-"&amp;UPPER(LEFT(B40,1))&amp;"W"</f>
        <v>0912-7LEK-C5,2-CW</v>
      </c>
      <c r="D40" s="442" t="s">
        <v>475</v>
      </c>
      <c r="E40" s="165" t="e">
        <f>SUM(F40:I40)</f>
        <v>#REF!</v>
      </c>
      <c r="F40" s="443" t="e">
        <f>'III rok'!Z17+'IV rok'!Z12+#REF!</f>
        <v>#REF!</v>
      </c>
      <c r="G40" s="443" t="e">
        <f>'III rok'!AA17+'IV rok'!AA12+#REF!</f>
        <v>#REF!</v>
      </c>
      <c r="H40" s="443" t="e">
        <f>'III rok'!AB17+'IV rok'!AB12+#REF!</f>
        <v>#REF!</v>
      </c>
      <c r="I40" s="165" t="e">
        <f>'III rok'!AC17+'IV rok'!AC12+#REF!</f>
        <v>#REF!</v>
      </c>
      <c r="J40" s="165" t="e">
        <f>'III rok'!AD17+'IV rok'!AD12+#REF!</f>
        <v>#REF!</v>
      </c>
      <c r="K40" s="165" t="e">
        <f>'III rok'!AE17+'IV rok'!AE12+#REF!</f>
        <v>#REF!</v>
      </c>
    </row>
    <row r="41" spans="1:11" ht="31.5">
      <c r="A41" s="423" t="s">
        <v>320</v>
      </c>
      <c r="B41" s="70" t="s">
        <v>319</v>
      </c>
      <c r="C41" s="441" t="str">
        <f>"0912-7LEK-C"&amp;A41&amp;"-"&amp;UPPER(LEFT(B41,1))&amp;"W"</f>
        <v>0912-7LEK-C5.2a-CW</v>
      </c>
      <c r="D41" s="442" t="s">
        <v>142</v>
      </c>
      <c r="E41" s="165">
        <f t="shared" ref="E41:E51" si="8">SUM(F41:I41)</f>
        <v>55</v>
      </c>
      <c r="F41" s="443">
        <f>'III rok'!Z18</f>
        <v>15</v>
      </c>
      <c r="G41" s="443">
        <f>'III rok'!AA18</f>
        <v>15</v>
      </c>
      <c r="H41" s="443">
        <f>'III rok'!AB18</f>
        <v>25</v>
      </c>
      <c r="I41" s="443">
        <f>'III rok'!AC18</f>
        <v>0</v>
      </c>
      <c r="J41" s="443">
        <f>'III rok'!AD18</f>
        <v>75</v>
      </c>
      <c r="K41" s="443">
        <f>'III rok'!AE18</f>
        <v>3</v>
      </c>
    </row>
    <row r="42" spans="1:11" ht="15.75">
      <c r="A42" s="423">
        <v>5.3</v>
      </c>
      <c r="B42" s="70" t="s">
        <v>52</v>
      </c>
      <c r="C42" s="441" t="str">
        <f t="shared" ref="C42:C49" si="9">"0912-7LEK-C"&amp;A42&amp;"-"&amp;UPPER(LEFT(B42,1))</f>
        <v>0912-7LEK-C5,3-G</v>
      </c>
      <c r="D42" s="442">
        <v>10</v>
      </c>
      <c r="E42" s="165" t="e">
        <f t="shared" si="8"/>
        <v>#REF!</v>
      </c>
      <c r="F42" s="443" t="e">
        <f>#REF!</f>
        <v>#REF!</v>
      </c>
      <c r="G42" s="443" t="e">
        <f>#REF!</f>
        <v>#REF!</v>
      </c>
      <c r="H42" s="443" t="e">
        <f>#REF!</f>
        <v>#REF!</v>
      </c>
      <c r="I42" s="443" t="e">
        <f>#REF!</f>
        <v>#REF!</v>
      </c>
      <c r="J42" s="443" t="e">
        <f>#REF!</f>
        <v>#REF!</v>
      </c>
      <c r="K42" s="443" t="e">
        <f>#REF!</f>
        <v>#REF!</v>
      </c>
    </row>
    <row r="43" spans="1:11" ht="15.75">
      <c r="A43" s="423">
        <v>5.4</v>
      </c>
      <c r="B43" s="70" t="s">
        <v>53</v>
      </c>
      <c r="C43" s="441" t="str">
        <f t="shared" si="9"/>
        <v>0912-7LEK-C5,4-N</v>
      </c>
      <c r="D43" s="442">
        <v>7</v>
      </c>
      <c r="E43" s="165">
        <f t="shared" si="8"/>
        <v>60</v>
      </c>
      <c r="F43" s="443">
        <f>'IV rok'!Z13</f>
        <v>15</v>
      </c>
      <c r="G43" s="443">
        <f>'IV rok'!AA13</f>
        <v>15</v>
      </c>
      <c r="H43" s="443">
        <f>'IV rok'!AB13</f>
        <v>30</v>
      </c>
      <c r="I43" s="443">
        <f>'IV rok'!AC13</f>
        <v>0</v>
      </c>
      <c r="J43" s="443">
        <f>'IV rok'!AD13</f>
        <v>100</v>
      </c>
      <c r="K43" s="443">
        <f>'IV rok'!AE13</f>
        <v>4</v>
      </c>
    </row>
    <row r="44" spans="1:11" ht="15.75">
      <c r="A44" s="423">
        <v>5.5</v>
      </c>
      <c r="B44" s="70" t="s">
        <v>54</v>
      </c>
      <c r="C44" s="441" t="str">
        <f t="shared" si="9"/>
        <v>0912-7LEK-C5,5-P</v>
      </c>
      <c r="D44" s="442">
        <v>8</v>
      </c>
      <c r="E44" s="165">
        <f t="shared" si="8"/>
        <v>65</v>
      </c>
      <c r="F44" s="443">
        <f>'IV rok'!Z14</f>
        <v>20</v>
      </c>
      <c r="G44" s="443">
        <f>'IV rok'!AA14</f>
        <v>20</v>
      </c>
      <c r="H44" s="443">
        <f>'IV rok'!AB14</f>
        <v>25</v>
      </c>
      <c r="I44" s="443">
        <f>'IV rok'!AC14</f>
        <v>0</v>
      </c>
      <c r="J44" s="443">
        <f>'IV rok'!AD14</f>
        <v>100</v>
      </c>
      <c r="K44" s="443">
        <f>'IV rok'!AE14</f>
        <v>4</v>
      </c>
    </row>
    <row r="45" spans="1:11" ht="15.75">
      <c r="A45" s="423">
        <v>5.6</v>
      </c>
      <c r="B45" s="70" t="s">
        <v>55</v>
      </c>
      <c r="C45" s="441" t="str">
        <f t="shared" si="9"/>
        <v>0912-7LEK-C5,6-O</v>
      </c>
      <c r="D45" s="442">
        <v>7</v>
      </c>
      <c r="E45" s="165">
        <f t="shared" si="8"/>
        <v>55</v>
      </c>
      <c r="F45" s="443">
        <f>'IV rok'!Z15</f>
        <v>15</v>
      </c>
      <c r="G45" s="443">
        <f>'IV rok'!AA15</f>
        <v>15</v>
      </c>
      <c r="H45" s="443">
        <f>'IV rok'!AB15</f>
        <v>25</v>
      </c>
      <c r="I45" s="443">
        <f>'IV rok'!AC15</f>
        <v>0</v>
      </c>
      <c r="J45" s="443">
        <f>'IV rok'!AD15</f>
        <v>100</v>
      </c>
      <c r="K45" s="443">
        <f>'IV rok'!AE15</f>
        <v>4</v>
      </c>
    </row>
    <row r="46" spans="1:11" ht="15.75">
      <c r="A46" s="423">
        <v>5.7</v>
      </c>
      <c r="B46" s="70" t="s">
        <v>56</v>
      </c>
      <c r="C46" s="441" t="str">
        <f>"0912-7LEK-C"&amp;A46&amp;"-"&amp;UPPER(LEFT(B46,1))&amp;"R"</f>
        <v>0912-7LEK-C5,7-MR</v>
      </c>
      <c r="D46" s="442">
        <v>9</v>
      </c>
      <c r="E46" s="165" t="e">
        <f t="shared" si="8"/>
        <v>#REF!</v>
      </c>
      <c r="F46" s="443" t="e">
        <f>#REF!</f>
        <v>#REF!</v>
      </c>
      <c r="G46" s="443" t="e">
        <f>#REF!</f>
        <v>#REF!</v>
      </c>
      <c r="H46" s="443" t="e">
        <f>#REF!</f>
        <v>#REF!</v>
      </c>
      <c r="I46" s="443" t="e">
        <f>#REF!</f>
        <v>#REF!</v>
      </c>
      <c r="J46" s="443" t="e">
        <f>#REF!</f>
        <v>#REF!</v>
      </c>
      <c r="K46" s="443" t="e">
        <f>#REF!</f>
        <v>#REF!</v>
      </c>
    </row>
    <row r="47" spans="1:11" ht="15.75">
      <c r="A47" s="423">
        <v>5.8</v>
      </c>
      <c r="B47" s="70" t="s">
        <v>57</v>
      </c>
      <c r="C47" s="441" t="str">
        <f>"0912-7LEK-C"&amp;A47&amp;"-"&amp;UPPER(LEFT(B47,1))&amp;"iW"</f>
        <v>0912-7LEK-C5,8-DiW</v>
      </c>
      <c r="D47" s="442">
        <v>6</v>
      </c>
      <c r="E47" s="165">
        <f t="shared" si="8"/>
        <v>55</v>
      </c>
      <c r="F47" s="443">
        <f>'III rok'!Z19</f>
        <v>15</v>
      </c>
      <c r="G47" s="443">
        <f>'III rok'!AA19</f>
        <v>15</v>
      </c>
      <c r="H47" s="443">
        <f>'III rok'!AB19</f>
        <v>25</v>
      </c>
      <c r="I47" s="443">
        <f>'III rok'!AC19</f>
        <v>0</v>
      </c>
      <c r="J47" s="443">
        <f>'III rok'!AD19</f>
        <v>75</v>
      </c>
      <c r="K47" s="443">
        <f>'III rok'!AE19</f>
        <v>3</v>
      </c>
    </row>
    <row r="48" spans="1:11" ht="15.75">
      <c r="A48" s="423">
        <v>5.9</v>
      </c>
      <c r="B48" s="70" t="s">
        <v>58</v>
      </c>
      <c r="C48" s="441" t="str">
        <f>"0912-7LEK-C"&amp;A48&amp;"-"&amp;UPPER(LEFT(B48,1))&amp;"Z"</f>
        <v>0912-7LEK-C5,9-CZ</v>
      </c>
      <c r="D48" s="442" t="s">
        <v>144</v>
      </c>
      <c r="E48" s="165">
        <f t="shared" si="8"/>
        <v>50</v>
      </c>
      <c r="F48" s="443">
        <f>'IV rok'!Z16</f>
        <v>20</v>
      </c>
      <c r="G48" s="443">
        <f>'IV rok'!AA16</f>
        <v>15</v>
      </c>
      <c r="H48" s="443">
        <f>'IV rok'!AB16</f>
        <v>15</v>
      </c>
      <c r="I48" s="443">
        <f>'IV rok'!AC16</f>
        <v>0</v>
      </c>
      <c r="J48" s="443">
        <f>'IV rok'!AD16</f>
        <v>75</v>
      </c>
      <c r="K48" s="443">
        <f>'IV rok'!AE16</f>
        <v>3</v>
      </c>
    </row>
    <row r="49" spans="1:11" ht="15.75">
      <c r="A49" s="410">
        <v>5.0999999999999996</v>
      </c>
      <c r="B49" s="70" t="s">
        <v>59</v>
      </c>
      <c r="C49" s="441" t="str">
        <f t="shared" si="9"/>
        <v>0912-7LEK-C5,1-R</v>
      </c>
      <c r="D49" s="442">
        <v>7</v>
      </c>
      <c r="E49" s="165">
        <f t="shared" si="8"/>
        <v>50</v>
      </c>
      <c r="F49" s="443">
        <f>'IV rok'!Z17</f>
        <v>15</v>
      </c>
      <c r="G49" s="443">
        <f>'IV rok'!AA17</f>
        <v>15</v>
      </c>
      <c r="H49" s="443">
        <f>'IV rok'!AB17</f>
        <v>20</v>
      </c>
      <c r="I49" s="443">
        <f>'IV rok'!AC17</f>
        <v>0</v>
      </c>
      <c r="J49" s="443">
        <f>'IV rok'!AD17</f>
        <v>75</v>
      </c>
      <c r="K49" s="443">
        <f>'IV rok'!AE17</f>
        <v>3</v>
      </c>
    </row>
    <row r="50" spans="1:11" ht="15.75">
      <c r="A50" s="410">
        <v>5.1100000000000003</v>
      </c>
      <c r="B50" s="70" t="s">
        <v>60</v>
      </c>
      <c r="C50" s="441" t="str">
        <f>"0912-7LEK-C"&amp;A50&amp;"-"&amp;UPPER(LEFT(B50,1))&amp;"L"</f>
        <v>0912-7LEK-C5,11-DL</v>
      </c>
      <c r="D50" s="442" t="s">
        <v>142</v>
      </c>
      <c r="E50" s="165">
        <f t="shared" si="8"/>
        <v>55</v>
      </c>
      <c r="F50" s="443">
        <f>'III rok'!Z20</f>
        <v>15</v>
      </c>
      <c r="G50" s="443">
        <f>'III rok'!AA20</f>
        <v>40</v>
      </c>
      <c r="H50" s="443">
        <f>'III rok'!AB20</f>
        <v>0</v>
      </c>
      <c r="I50" s="443">
        <f>'III rok'!AC20</f>
        <v>0</v>
      </c>
      <c r="J50" s="443">
        <f>'III rok'!AD20</f>
        <v>100</v>
      </c>
      <c r="K50" s="443">
        <f>'III rok'!AE20</f>
        <v>4</v>
      </c>
    </row>
    <row r="51" spans="1:11" ht="15.75">
      <c r="A51" s="410">
        <v>5.12</v>
      </c>
      <c r="B51" s="70" t="s">
        <v>61</v>
      </c>
      <c r="C51" s="441" t="str">
        <f>"0912-7LEK-C"&amp;A51&amp;"-"&amp;UPPER(LEFT(B51,1))&amp;"K"</f>
        <v>0912-7LEK-C5,12-FK</v>
      </c>
      <c r="D51" s="442" t="s">
        <v>141</v>
      </c>
      <c r="E51" s="165">
        <f t="shared" si="8"/>
        <v>65</v>
      </c>
      <c r="F51" s="443">
        <f>'IV rok'!Z18</f>
        <v>30</v>
      </c>
      <c r="G51" s="443">
        <f>'IV rok'!AA18</f>
        <v>35</v>
      </c>
      <c r="H51" s="443">
        <f>'IV rok'!AB18</f>
        <v>0</v>
      </c>
      <c r="I51" s="443">
        <f>'IV rok'!AC18</f>
        <v>0</v>
      </c>
      <c r="J51" s="443">
        <f>'IV rok'!AD18</f>
        <v>100</v>
      </c>
      <c r="K51" s="443">
        <f>'IV rok'!AE18</f>
        <v>4</v>
      </c>
    </row>
    <row r="52" spans="1:11">
      <c r="A52" s="633" t="s">
        <v>9</v>
      </c>
      <c r="B52" s="634"/>
      <c r="C52" s="634"/>
      <c r="D52" s="635"/>
      <c r="E52" s="445" t="e">
        <f t="shared" ref="E52:K52" si="10">SUM(E39:E51)</f>
        <v>#REF!</v>
      </c>
      <c r="F52" s="445" t="e">
        <f t="shared" si="10"/>
        <v>#REF!</v>
      </c>
      <c r="G52" s="445" t="e">
        <f t="shared" si="10"/>
        <v>#REF!</v>
      </c>
      <c r="H52" s="445" t="e">
        <f t="shared" si="10"/>
        <v>#REF!</v>
      </c>
      <c r="I52" s="445" t="e">
        <f t="shared" si="10"/>
        <v>#REF!</v>
      </c>
      <c r="J52" s="445" t="e">
        <f t="shared" si="10"/>
        <v>#REF!</v>
      </c>
      <c r="K52" s="445" t="e">
        <f t="shared" si="10"/>
        <v>#REF!</v>
      </c>
    </row>
    <row r="53" spans="1:11">
      <c r="A53" s="630" t="s">
        <v>420</v>
      </c>
      <c r="B53" s="631"/>
      <c r="C53" s="631"/>
      <c r="D53" s="631"/>
      <c r="E53" s="631"/>
      <c r="F53" s="631"/>
      <c r="G53" s="631"/>
      <c r="H53" s="631"/>
      <c r="I53" s="631"/>
      <c r="J53" s="631"/>
      <c r="K53" s="632"/>
    </row>
    <row r="54" spans="1:11" ht="15.75">
      <c r="A54" s="417">
        <v>6.1</v>
      </c>
      <c r="B54" s="93" t="s">
        <v>62</v>
      </c>
      <c r="C54" s="163" t="str">
        <f>"0912-7LEK-C"&amp;A54&amp;"-"&amp;UPPER(LEFT(B54,1))&amp;"iIT"</f>
        <v>0912-7LEK-C6,1-AiIT</v>
      </c>
      <c r="D54" s="164" t="s">
        <v>241</v>
      </c>
      <c r="E54" s="165">
        <f>SUM(F54:I54)</f>
        <v>95</v>
      </c>
      <c r="F54" s="165">
        <f>'IV rok'!Z21</f>
        <v>30</v>
      </c>
      <c r="G54" s="165">
        <f>'IV rok'!AA21</f>
        <v>30</v>
      </c>
      <c r="H54" s="165">
        <f>'IV rok'!AB21</f>
        <v>35</v>
      </c>
      <c r="I54" s="165">
        <f>'IV rok'!AC21</f>
        <v>0</v>
      </c>
      <c r="J54" s="165">
        <f>'IV rok'!AD21</f>
        <v>125</v>
      </c>
      <c r="K54" s="165">
        <f>'IV rok'!AE21</f>
        <v>5</v>
      </c>
    </row>
    <row r="55" spans="1:11" ht="15.75">
      <c r="A55" s="423">
        <v>6.2</v>
      </c>
      <c r="B55" s="70" t="s">
        <v>63</v>
      </c>
      <c r="C55" s="163" t="str">
        <f>"0912-7LEK-C"&amp;A55&amp;"-"&amp;UPPER(LEFT(B55,1))&amp;""</f>
        <v>0912-7LEK-C6,2-C</v>
      </c>
      <c r="D55" s="442" t="s">
        <v>242</v>
      </c>
      <c r="E55" s="165" t="e">
        <f t="shared" ref="E55:E66" si="11">SUM(F55:I55)</f>
        <v>#REF!</v>
      </c>
      <c r="F55" s="443" t="e">
        <f>'III rok'!Z23+'IV rok'!Z22+#REF!</f>
        <v>#REF!</v>
      </c>
      <c r="G55" s="443" t="e">
        <f>'III rok'!AA23+'IV rok'!AA22+#REF!</f>
        <v>#REF!</v>
      </c>
      <c r="H55" s="443" t="e">
        <f>'III rok'!AB23+'IV rok'!AB22+#REF!</f>
        <v>#REF!</v>
      </c>
      <c r="I55" s="443" t="e">
        <f>'III rok'!AC23+'IV rok'!AC22+#REF!</f>
        <v>#REF!</v>
      </c>
      <c r="J55" s="443" t="e">
        <f>'III rok'!AD23+'IV rok'!AD22+#REF!</f>
        <v>#REF!</v>
      </c>
      <c r="K55" s="443" t="e">
        <f>'III rok'!AE23+'IV rok'!AE22+#REF!</f>
        <v>#REF!</v>
      </c>
    </row>
    <row r="56" spans="1:11" ht="15.75">
      <c r="A56" s="423">
        <v>6.3</v>
      </c>
      <c r="B56" s="70" t="s">
        <v>64</v>
      </c>
      <c r="C56" s="163" t="str">
        <f>"0912-7LEK-C"&amp;A56&amp;"-"&amp;UPPER(LEFT(B56,1))&amp;"D"</f>
        <v>0912-7LEK-C6,3-CD</v>
      </c>
      <c r="D56" s="442">
        <v>9</v>
      </c>
      <c r="E56" s="165" t="e">
        <f t="shared" si="11"/>
        <v>#REF!</v>
      </c>
      <c r="F56" s="443" t="e">
        <f>#REF!</f>
        <v>#REF!</v>
      </c>
      <c r="G56" s="443" t="e">
        <f>#REF!</f>
        <v>#REF!</v>
      </c>
      <c r="H56" s="443" t="e">
        <f>#REF!</f>
        <v>#REF!</v>
      </c>
      <c r="I56" s="443" t="e">
        <f>#REF!</f>
        <v>#REF!</v>
      </c>
      <c r="J56" s="443" t="e">
        <f>#REF!</f>
        <v>#REF!</v>
      </c>
      <c r="K56" s="443" t="e">
        <f>#REF!</f>
        <v>#REF!</v>
      </c>
    </row>
    <row r="57" spans="1:11" ht="15.75">
      <c r="A57" s="423">
        <v>6.4</v>
      </c>
      <c r="B57" s="70" t="s">
        <v>65</v>
      </c>
      <c r="C57" s="163" t="str">
        <f>"0912-7LEK-C"&amp;A57&amp;"-"&amp;UPPER(LEFT(B57,1))&amp;"iT"</f>
        <v>0912-7LEK-C6,4-OiT</v>
      </c>
      <c r="D57" s="442" t="s">
        <v>126</v>
      </c>
      <c r="E57" s="165" t="e">
        <f t="shared" si="11"/>
        <v>#REF!</v>
      </c>
      <c r="F57" s="443" t="e">
        <f>#REF!</f>
        <v>#REF!</v>
      </c>
      <c r="G57" s="443" t="e">
        <f>#REF!</f>
        <v>#REF!</v>
      </c>
      <c r="H57" s="443" t="e">
        <f>#REF!</f>
        <v>#REF!</v>
      </c>
      <c r="I57" s="443" t="e">
        <f>#REF!</f>
        <v>#REF!</v>
      </c>
      <c r="J57" s="443" t="e">
        <f>#REF!</f>
        <v>#REF!</v>
      </c>
      <c r="K57" s="443" t="e">
        <f>#REF!</f>
        <v>#REF!</v>
      </c>
    </row>
    <row r="58" spans="1:11" ht="15.75">
      <c r="A58" s="423">
        <v>6.5</v>
      </c>
      <c r="B58" s="70" t="s">
        <v>66</v>
      </c>
      <c r="C58" s="163" t="str">
        <f>"0912-7LEK-C"&amp;A58&amp;"-"&amp;UPPER(LEFT(B58,1))&amp;"O"</f>
        <v>0912-7LEK-C6,5-CO</v>
      </c>
      <c r="D58" s="442" t="s">
        <v>126</v>
      </c>
      <c r="E58" s="165" t="e">
        <f t="shared" si="11"/>
        <v>#REF!</v>
      </c>
      <c r="F58" s="443" t="e">
        <f>#REF!</f>
        <v>#REF!</v>
      </c>
      <c r="G58" s="443" t="e">
        <f>#REF!</f>
        <v>#REF!</v>
      </c>
      <c r="H58" s="443" t="e">
        <f>#REF!</f>
        <v>#REF!</v>
      </c>
      <c r="I58" s="443" t="e">
        <f>#REF!</f>
        <v>#REF!</v>
      </c>
      <c r="J58" s="443" t="e">
        <f>#REF!</f>
        <v>#REF!</v>
      </c>
      <c r="K58" s="443" t="e">
        <f>#REF!</f>
        <v>#REF!</v>
      </c>
    </row>
    <row r="59" spans="1:11" ht="15.75">
      <c r="A59" s="423">
        <v>6.6</v>
      </c>
      <c r="B59" s="451" t="s">
        <v>67</v>
      </c>
      <c r="C59" s="163" t="str">
        <f>"0912-7LEK-C"&amp;A59&amp;"-"&amp;UPPER(LEFT(B59,1))&amp;""</f>
        <v>0912-7LEK-C6,6-U</v>
      </c>
      <c r="D59" s="442">
        <v>10</v>
      </c>
      <c r="E59" s="165" t="e">
        <f t="shared" si="11"/>
        <v>#REF!</v>
      </c>
      <c r="F59" s="443" t="e">
        <f>#REF!</f>
        <v>#REF!</v>
      </c>
      <c r="G59" s="443" t="e">
        <f>#REF!</f>
        <v>#REF!</v>
      </c>
      <c r="H59" s="443" t="e">
        <f>#REF!</f>
        <v>#REF!</v>
      </c>
      <c r="I59" s="443" t="e">
        <f>#REF!</f>
        <v>#REF!</v>
      </c>
      <c r="J59" s="443" t="e">
        <f>#REF!</f>
        <v>#REF!</v>
      </c>
      <c r="K59" s="443" t="e">
        <f>#REF!</f>
        <v>#REF!</v>
      </c>
    </row>
    <row r="60" spans="1:11" ht="15.75">
      <c r="A60" s="423">
        <v>6.7</v>
      </c>
      <c r="B60" s="451" t="s">
        <v>68</v>
      </c>
      <c r="C60" s="163" t="str">
        <f>"0912-7LEK-C"&amp;A60&amp;"-"&amp;UPPER(LEFT(B60,1))&amp;""</f>
        <v>0912-7LEK-C6,7-O</v>
      </c>
      <c r="D60" s="442">
        <v>9</v>
      </c>
      <c r="E60" s="165" t="e">
        <f t="shared" si="11"/>
        <v>#REF!</v>
      </c>
      <c r="F60" s="443" t="e">
        <f>#REF!</f>
        <v>#REF!</v>
      </c>
      <c r="G60" s="443" t="e">
        <f>#REF!</f>
        <v>#REF!</v>
      </c>
      <c r="H60" s="443" t="e">
        <f>#REF!</f>
        <v>#REF!</v>
      </c>
      <c r="I60" s="443" t="e">
        <f>#REF!</f>
        <v>#REF!</v>
      </c>
      <c r="J60" s="443" t="e">
        <f>#REF!</f>
        <v>#REF!</v>
      </c>
      <c r="K60" s="443" t="e">
        <f>#REF!</f>
        <v>#REF!</v>
      </c>
    </row>
    <row r="61" spans="1:11" ht="28.5" customHeight="1">
      <c r="A61" s="423">
        <v>6.8</v>
      </c>
      <c r="B61" s="452" t="s">
        <v>69</v>
      </c>
      <c r="C61" s="163" t="str">
        <f>"0912-7LEK-C"&amp;A61&amp;"-"&amp;UPPER(LEFT(B61,1))&amp;"R"</f>
        <v>0912-7LEK-C6,8-MR</v>
      </c>
      <c r="D61" s="442">
        <v>10</v>
      </c>
      <c r="E61" s="165" t="e">
        <f t="shared" si="11"/>
        <v>#REF!</v>
      </c>
      <c r="F61" s="443" t="e">
        <f>#REF!</f>
        <v>#REF!</v>
      </c>
      <c r="G61" s="443" t="e">
        <f>#REF!</f>
        <v>#REF!</v>
      </c>
      <c r="H61" s="443" t="e">
        <f>#REF!</f>
        <v>#REF!</v>
      </c>
      <c r="I61" s="443" t="e">
        <f>#REF!</f>
        <v>#REF!</v>
      </c>
      <c r="J61" s="443" t="e">
        <f>#REF!</f>
        <v>#REF!</v>
      </c>
      <c r="K61" s="443" t="e">
        <f>#REF!</f>
        <v>#REF!</v>
      </c>
    </row>
    <row r="62" spans="1:11" ht="15.75">
      <c r="A62" s="423">
        <v>6.9</v>
      </c>
      <c r="B62" s="451" t="s">
        <v>70</v>
      </c>
      <c r="C62" s="163" t="str">
        <f>"0912-7LEK-C"&amp;A62&amp;"-"&amp;UPPER(LEFT(B62,1))&amp;"iP"</f>
        <v>0912-7LEK-C6,9-GiP</v>
      </c>
      <c r="D62" s="442" t="s">
        <v>243</v>
      </c>
      <c r="E62" s="165" t="e">
        <f t="shared" si="11"/>
        <v>#REF!</v>
      </c>
      <c r="F62" s="443" t="e">
        <f>#REF!</f>
        <v>#REF!</v>
      </c>
      <c r="G62" s="443" t="e">
        <f>#REF!</f>
        <v>#REF!</v>
      </c>
      <c r="H62" s="443" t="e">
        <f>#REF!</f>
        <v>#REF!</v>
      </c>
      <c r="I62" s="443" t="e">
        <f>#REF!</f>
        <v>#REF!</v>
      </c>
      <c r="J62" s="443" t="e">
        <f>#REF!</f>
        <v>#REF!</v>
      </c>
      <c r="K62" s="443" t="e">
        <f>#REF!</f>
        <v>#REF!</v>
      </c>
    </row>
    <row r="63" spans="1:11" ht="15.75">
      <c r="A63" s="410">
        <v>6.1</v>
      </c>
      <c r="B63" s="451" t="s">
        <v>71</v>
      </c>
      <c r="C63" s="163" t="str">
        <f>"0912-7LEK-C"&amp;A63&amp;"-"&amp;UPPER(LEFT(B63,1))&amp;""</f>
        <v>0912-7LEK-C6,1-O</v>
      </c>
      <c r="D63" s="442">
        <v>10</v>
      </c>
      <c r="E63" s="165" t="e">
        <f t="shared" si="11"/>
        <v>#REF!</v>
      </c>
      <c r="F63" s="443" t="e">
        <f>#REF!</f>
        <v>#REF!</v>
      </c>
      <c r="G63" s="443" t="e">
        <f>#REF!</f>
        <v>#REF!</v>
      </c>
      <c r="H63" s="443" t="e">
        <f>#REF!</f>
        <v>#REF!</v>
      </c>
      <c r="I63" s="443" t="e">
        <f>#REF!</f>
        <v>#REF!</v>
      </c>
      <c r="J63" s="443" t="e">
        <f>#REF!</f>
        <v>#REF!</v>
      </c>
      <c r="K63" s="443" t="e">
        <f>#REF!</f>
        <v>#REF!</v>
      </c>
    </row>
    <row r="64" spans="1:11" ht="15.75">
      <c r="A64" s="410">
        <v>6.11</v>
      </c>
      <c r="B64" s="451" t="s">
        <v>72</v>
      </c>
      <c r="C64" s="163" t="str">
        <f>"0912-7LEK-C"&amp;A64&amp;"-"&amp;UPPER(LEFT(B64,1))&amp;""</f>
        <v>0912-7LEK-C6,11-N</v>
      </c>
      <c r="D64" s="442">
        <v>10</v>
      </c>
      <c r="E64" s="165" t="e">
        <f t="shared" si="11"/>
        <v>#REF!</v>
      </c>
      <c r="F64" s="443" t="e">
        <f>#REF!</f>
        <v>#REF!</v>
      </c>
      <c r="G64" s="443" t="e">
        <f>#REF!</f>
        <v>#REF!</v>
      </c>
      <c r="H64" s="443" t="e">
        <f>#REF!</f>
        <v>#REF!</v>
      </c>
      <c r="I64" s="443" t="e">
        <f>#REF!</f>
        <v>#REF!</v>
      </c>
      <c r="J64" s="443" t="e">
        <f>#REF!</f>
        <v>#REF!</v>
      </c>
      <c r="K64" s="443" t="e">
        <f>#REF!</f>
        <v>#REF!</v>
      </c>
    </row>
    <row r="65" spans="1:11" ht="15.75">
      <c r="A65" s="410">
        <v>6.12</v>
      </c>
      <c r="B65" s="451" t="s">
        <v>73</v>
      </c>
      <c r="C65" s="163" t="str">
        <f>"0912-7LEK-C"&amp;A65&amp;"-"&amp;UPPER(LEFT(B65,1))&amp;""</f>
        <v>0912-7LEK-C6,12-T</v>
      </c>
      <c r="D65" s="442" t="s">
        <v>126</v>
      </c>
      <c r="E65" s="165" t="e">
        <f t="shared" si="11"/>
        <v>#REF!</v>
      </c>
      <c r="F65" s="443" t="e">
        <f>#REF!</f>
        <v>#REF!</v>
      </c>
      <c r="G65" s="443" t="e">
        <f>#REF!</f>
        <v>#REF!</v>
      </c>
      <c r="H65" s="443" t="e">
        <f>#REF!</f>
        <v>#REF!</v>
      </c>
      <c r="I65" s="443" t="e">
        <f>#REF!</f>
        <v>#REF!</v>
      </c>
      <c r="J65" s="443" t="e">
        <f>#REF!</f>
        <v>#REF!</v>
      </c>
      <c r="K65" s="443" t="e">
        <f>#REF!</f>
        <v>#REF!</v>
      </c>
    </row>
    <row r="66" spans="1:11" ht="15.75">
      <c r="A66" s="410">
        <v>6.13</v>
      </c>
      <c r="B66" s="451" t="s">
        <v>74</v>
      </c>
      <c r="C66" s="163" t="str">
        <f>"0912-7LEK-C"&amp;A66&amp;"-"&amp;UPPER(LEFT(B66,1))&amp;"O"</f>
        <v>0912-7LEK-C6,13-DO</v>
      </c>
      <c r="D66" s="442">
        <v>8</v>
      </c>
      <c r="E66" s="165">
        <f t="shared" si="11"/>
        <v>55</v>
      </c>
      <c r="F66" s="443">
        <f>'IV rok'!Z23</f>
        <v>15</v>
      </c>
      <c r="G66" s="443">
        <f>'IV rok'!AA23</f>
        <v>15</v>
      </c>
      <c r="H66" s="443">
        <f>'IV rok'!AB23</f>
        <v>25</v>
      </c>
      <c r="I66" s="443">
        <f>'IV rok'!AC23</f>
        <v>0</v>
      </c>
      <c r="J66" s="443">
        <f>'IV rok'!AD23</f>
        <v>75</v>
      </c>
      <c r="K66" s="443">
        <f>'IV rok'!AE23</f>
        <v>3</v>
      </c>
    </row>
    <row r="67" spans="1:11">
      <c r="A67" s="633" t="s">
        <v>9</v>
      </c>
      <c r="B67" s="634"/>
      <c r="C67" s="634"/>
      <c r="D67" s="635"/>
      <c r="E67" s="445" t="e">
        <f t="shared" ref="E67:K67" si="12">SUM(E54:E66)</f>
        <v>#REF!</v>
      </c>
      <c r="F67" s="445" t="e">
        <f t="shared" si="12"/>
        <v>#REF!</v>
      </c>
      <c r="G67" s="445" t="e">
        <f t="shared" si="12"/>
        <v>#REF!</v>
      </c>
      <c r="H67" s="445" t="e">
        <f t="shared" si="12"/>
        <v>#REF!</v>
      </c>
      <c r="I67" s="445" t="e">
        <f t="shared" si="12"/>
        <v>#REF!</v>
      </c>
      <c r="J67" s="445" t="e">
        <f t="shared" si="12"/>
        <v>#REF!</v>
      </c>
      <c r="K67" s="445" t="e">
        <f t="shared" si="12"/>
        <v>#REF!</v>
      </c>
    </row>
    <row r="68" spans="1:11" s="97" customFormat="1">
      <c r="A68" s="630" t="s">
        <v>418</v>
      </c>
      <c r="B68" s="631"/>
      <c r="C68" s="631"/>
      <c r="D68" s="631"/>
      <c r="E68" s="631"/>
      <c r="F68" s="631"/>
      <c r="G68" s="631"/>
      <c r="H68" s="631"/>
      <c r="I68" s="631"/>
      <c r="J68" s="631"/>
      <c r="K68" s="632"/>
    </row>
    <row r="69" spans="1:11" ht="15.75">
      <c r="A69" s="417">
        <v>7.1</v>
      </c>
      <c r="B69" s="453" t="s">
        <v>75</v>
      </c>
      <c r="C69" s="163" t="str">
        <f>"0912-7LEK-C"&amp;A69&amp;"-"&amp;UPPER(LEFT(B69,1))</f>
        <v>0912-7LEK-C7,1-H</v>
      </c>
      <c r="D69" s="164" t="s">
        <v>239</v>
      </c>
      <c r="E69" s="165">
        <f>SUM(F69:I69)</f>
        <v>15</v>
      </c>
      <c r="F69" s="165">
        <f>'II rok'!Z27</f>
        <v>15</v>
      </c>
      <c r="G69" s="165">
        <f>'II rok'!AA27</f>
        <v>0</v>
      </c>
      <c r="H69" s="165">
        <f>'II rok'!AB27</f>
        <v>0</v>
      </c>
      <c r="I69" s="165">
        <f>'II rok'!AC27</f>
        <v>0</v>
      </c>
      <c r="J69" s="165">
        <f>'II rok'!AD27</f>
        <v>25</v>
      </c>
      <c r="K69" s="165">
        <f>'II rok'!AE27</f>
        <v>1</v>
      </c>
    </row>
    <row r="70" spans="1:11" ht="15.75">
      <c r="A70" s="423">
        <v>7.2</v>
      </c>
      <c r="B70" s="451" t="s">
        <v>76</v>
      </c>
      <c r="C70" s="441" t="str">
        <f>"0912-7LEK-C"&amp;A70&amp;"-"&amp;UPPER(LEFT(B70,1))</f>
        <v>0912-7LEK-C7,2-E</v>
      </c>
      <c r="D70" s="442" t="s">
        <v>239</v>
      </c>
      <c r="E70" s="165">
        <f>SUM(F70:I70)</f>
        <v>15</v>
      </c>
      <c r="F70" s="165">
        <f>'II rok'!Z28</f>
        <v>15</v>
      </c>
      <c r="G70" s="165">
        <f>'II rok'!AA28</f>
        <v>0</v>
      </c>
      <c r="H70" s="165">
        <f>'II rok'!AB28</f>
        <v>0</v>
      </c>
      <c r="I70" s="165">
        <f>'II rok'!AC28</f>
        <v>0</v>
      </c>
      <c r="J70" s="165">
        <f>'II rok'!AD28</f>
        <v>25</v>
      </c>
      <c r="K70" s="165">
        <f>'II rok'!AE28</f>
        <v>1</v>
      </c>
    </row>
    <row r="71" spans="1:11" ht="15.75">
      <c r="A71" s="423">
        <v>7.3</v>
      </c>
      <c r="B71" s="451" t="s">
        <v>77</v>
      </c>
      <c r="C71" s="441" t="str">
        <f>"0912-7LEK-C"&amp;A71&amp;"-"&amp;UPPER(LEFT(B71,1))</f>
        <v>0912-7LEK-C7,3-Z</v>
      </c>
      <c r="D71" s="442" t="s">
        <v>140</v>
      </c>
      <c r="E71" s="165">
        <f>SUM(F71:I71)</f>
        <v>15</v>
      </c>
      <c r="F71" s="165">
        <f>'II rok'!Z29</f>
        <v>15</v>
      </c>
      <c r="G71" s="165">
        <f>'II rok'!AA29</f>
        <v>0</v>
      </c>
      <c r="H71" s="165">
        <f>'II rok'!AB29</f>
        <v>0</v>
      </c>
      <c r="I71" s="165">
        <f>'II rok'!AC29</f>
        <v>0</v>
      </c>
      <c r="J71" s="165">
        <f>'II rok'!AD29</f>
        <v>25</v>
      </c>
      <c r="K71" s="165">
        <f>'II rok'!AE29</f>
        <v>1</v>
      </c>
    </row>
    <row r="72" spans="1:11" ht="15.75">
      <c r="A72" s="423">
        <v>7.4</v>
      </c>
      <c r="B72" s="451" t="s">
        <v>78</v>
      </c>
      <c r="C72" s="441" t="str">
        <f>"0912-7LEK-C"&amp;A72&amp;"-"&amp;UPPER(LEFT(B72,1))</f>
        <v>0912-7LEK-C7,4-P</v>
      </c>
      <c r="D72" s="442" t="s">
        <v>126</v>
      </c>
      <c r="E72" s="165" t="e">
        <f>SUM(F72:I72)</f>
        <v>#REF!</v>
      </c>
      <c r="F72" s="443" t="e">
        <f>#REF!</f>
        <v>#REF!</v>
      </c>
      <c r="G72" s="443" t="e">
        <f>#REF!</f>
        <v>#REF!</v>
      </c>
      <c r="H72" s="443" t="e">
        <f>#REF!</f>
        <v>#REF!</v>
      </c>
      <c r="I72" s="443" t="e">
        <f>#REF!</f>
        <v>#REF!</v>
      </c>
      <c r="J72" s="443" t="e">
        <f>#REF!</f>
        <v>#REF!</v>
      </c>
      <c r="K72" s="443" t="e">
        <f>#REF!</f>
        <v>#REF!</v>
      </c>
    </row>
    <row r="73" spans="1:11" ht="15.75">
      <c r="A73" s="423">
        <v>7.5</v>
      </c>
      <c r="B73" s="451" t="s">
        <v>79</v>
      </c>
      <c r="C73" s="441" t="str">
        <f>"0912-7LEK-C"&amp;A73&amp;"-"&amp;UPPER(LEFT(B73,1))</f>
        <v>0912-7LEK-C7,5-M</v>
      </c>
      <c r="D73" s="442">
        <v>10</v>
      </c>
      <c r="E73" s="165" t="e">
        <f>SUM(F73:I73)</f>
        <v>#REF!</v>
      </c>
      <c r="F73" s="443" t="e">
        <f>#REF!</f>
        <v>#REF!</v>
      </c>
      <c r="G73" s="443" t="e">
        <f>#REF!</f>
        <v>#REF!</v>
      </c>
      <c r="H73" s="443" t="e">
        <f>#REF!</f>
        <v>#REF!</v>
      </c>
      <c r="I73" s="443" t="e">
        <f>#REF!</f>
        <v>#REF!</v>
      </c>
      <c r="J73" s="443" t="e">
        <f>#REF!</f>
        <v>#REF!</v>
      </c>
      <c r="K73" s="443" t="e">
        <f>#REF!</f>
        <v>#REF!</v>
      </c>
    </row>
    <row r="74" spans="1:11">
      <c r="A74" s="633" t="s">
        <v>9</v>
      </c>
      <c r="B74" s="634"/>
      <c r="C74" s="634"/>
      <c r="D74" s="635"/>
      <c r="E74" s="445" t="e">
        <f t="shared" ref="E74:K74" si="13">SUM(E69:E73)</f>
        <v>#REF!</v>
      </c>
      <c r="F74" s="445" t="e">
        <f t="shared" si="13"/>
        <v>#REF!</v>
      </c>
      <c r="G74" s="445" t="e">
        <f t="shared" si="13"/>
        <v>#REF!</v>
      </c>
      <c r="H74" s="445" t="e">
        <f t="shared" si="13"/>
        <v>#REF!</v>
      </c>
      <c r="I74" s="445" t="e">
        <f t="shared" si="13"/>
        <v>#REF!</v>
      </c>
      <c r="J74" s="445" t="e">
        <f>SUM(J69:J73)</f>
        <v>#REF!</v>
      </c>
      <c r="K74" s="445" t="e">
        <f t="shared" si="13"/>
        <v>#REF!</v>
      </c>
    </row>
    <row r="75" spans="1:11">
      <c r="A75" s="630" t="s">
        <v>422</v>
      </c>
      <c r="B75" s="631"/>
      <c r="C75" s="631"/>
      <c r="D75" s="631"/>
      <c r="E75" s="631"/>
      <c r="F75" s="631"/>
      <c r="G75" s="631"/>
      <c r="H75" s="631"/>
      <c r="I75" s="631"/>
      <c r="J75" s="631"/>
      <c r="K75" s="632"/>
    </row>
    <row r="76" spans="1:11" ht="15.75">
      <c r="A76" s="417">
        <v>8.1</v>
      </c>
      <c r="B76" s="453" t="s">
        <v>80</v>
      </c>
      <c r="C76" s="163" t="str">
        <f>"0912-7LEK-C"&amp;A76&amp;"-"&amp;UPPER(LEFT(B76,1))</f>
        <v>0912-7LEK-C8,1-C</v>
      </c>
      <c r="D76" s="164" t="s">
        <v>130</v>
      </c>
      <c r="E76" s="165">
        <f>SUM(F76:I76)</f>
        <v>240</v>
      </c>
      <c r="F76" s="165">
        <f>'VI rok'!Z11</f>
        <v>0</v>
      </c>
      <c r="G76" s="165">
        <f>'VI rok'!AA11</f>
        <v>0</v>
      </c>
      <c r="H76" s="165">
        <f>'VI rok'!AB11</f>
        <v>240</v>
      </c>
      <c r="I76" s="165">
        <f>'VI rok'!AC11</f>
        <v>0</v>
      </c>
      <c r="J76" s="165">
        <f>'VI rok'!AD11</f>
        <v>400</v>
      </c>
      <c r="K76" s="165">
        <f>'VI rok'!AE11</f>
        <v>16</v>
      </c>
    </row>
    <row r="77" spans="1:11" ht="15.75">
      <c r="A77" s="423">
        <v>8.1999999999999993</v>
      </c>
      <c r="B77" s="451" t="s">
        <v>51</v>
      </c>
      <c r="C77" s="441" t="str">
        <f t="shared" ref="C77:C83" si="14">"0912-7LEK-C"&amp;A77&amp;"-"&amp;UPPER(LEFT(B77,1))</f>
        <v>0912-7LEK-C8,2-P</v>
      </c>
      <c r="D77" s="442" t="s">
        <v>130</v>
      </c>
      <c r="E77" s="165">
        <f t="shared" ref="E77:E83" si="15">SUM(F77:I77)</f>
        <v>120</v>
      </c>
      <c r="F77" s="165">
        <f>'VI rok'!Z12</f>
        <v>0</v>
      </c>
      <c r="G77" s="165">
        <f>'VI rok'!AA12</f>
        <v>0</v>
      </c>
      <c r="H77" s="165">
        <f>'VI rok'!AB12</f>
        <v>120</v>
      </c>
      <c r="I77" s="165">
        <f>'VI rok'!AC12</f>
        <v>0</v>
      </c>
      <c r="J77" s="165">
        <f>'VI rok'!AD12</f>
        <v>200</v>
      </c>
      <c r="K77" s="165">
        <f>'VI rok'!AE12</f>
        <v>8</v>
      </c>
    </row>
    <row r="78" spans="1:11" ht="15.75">
      <c r="A78" s="423">
        <v>8.3000000000000007</v>
      </c>
      <c r="B78" s="451" t="s">
        <v>81</v>
      </c>
      <c r="C78" s="441" t="str">
        <f t="shared" si="14"/>
        <v>0912-7LEK-C8,3-C</v>
      </c>
      <c r="D78" s="442" t="s">
        <v>246</v>
      </c>
      <c r="E78" s="165">
        <f t="shared" si="15"/>
        <v>120</v>
      </c>
      <c r="F78" s="165">
        <f>'VI rok'!Z13</f>
        <v>0</v>
      </c>
      <c r="G78" s="165">
        <f>'VI rok'!AA13</f>
        <v>0</v>
      </c>
      <c r="H78" s="165">
        <f>'VI rok'!AB13</f>
        <v>120</v>
      </c>
      <c r="I78" s="165">
        <f>'VI rok'!AC13</f>
        <v>0</v>
      </c>
      <c r="J78" s="165">
        <f>'VI rok'!AD13</f>
        <v>200</v>
      </c>
      <c r="K78" s="165">
        <f>'VI rok'!AE13</f>
        <v>8</v>
      </c>
    </row>
    <row r="79" spans="1:11" ht="15.75">
      <c r="A79" s="423">
        <v>8.4</v>
      </c>
      <c r="B79" s="451" t="s">
        <v>70</v>
      </c>
      <c r="C79" s="441" t="str">
        <f t="shared" si="14"/>
        <v>0912-7LEK-C8,4-G</v>
      </c>
      <c r="D79" s="442" t="s">
        <v>131</v>
      </c>
      <c r="E79" s="165">
        <f t="shared" si="15"/>
        <v>60</v>
      </c>
      <c r="F79" s="165">
        <f>'VI rok'!Z14</f>
        <v>0</v>
      </c>
      <c r="G79" s="165">
        <f>'VI rok'!AA14</f>
        <v>0</v>
      </c>
      <c r="H79" s="165">
        <f>'VI rok'!AB14</f>
        <v>60</v>
      </c>
      <c r="I79" s="165">
        <f>'VI rok'!AC14</f>
        <v>0</v>
      </c>
      <c r="J79" s="165">
        <f>'VI rok'!AD14</f>
        <v>100</v>
      </c>
      <c r="K79" s="165">
        <f>'VI rok'!AE14</f>
        <v>4</v>
      </c>
    </row>
    <row r="80" spans="1:11" ht="15.75">
      <c r="A80" s="423">
        <v>8.5</v>
      </c>
      <c r="B80" s="451" t="s">
        <v>54</v>
      </c>
      <c r="C80" s="441" t="str">
        <f t="shared" si="14"/>
        <v>0912-7LEK-C8,5-P</v>
      </c>
      <c r="D80" s="442" t="s">
        <v>130</v>
      </c>
      <c r="E80" s="165">
        <f t="shared" si="15"/>
        <v>60</v>
      </c>
      <c r="F80" s="165">
        <f>'VI rok'!Z15</f>
        <v>0</v>
      </c>
      <c r="G80" s="165">
        <f>'VI rok'!AA15</f>
        <v>0</v>
      </c>
      <c r="H80" s="165">
        <f>'VI rok'!AB15</f>
        <v>60</v>
      </c>
      <c r="I80" s="165">
        <f>'VI rok'!AC15</f>
        <v>0</v>
      </c>
      <c r="J80" s="165">
        <f>'VI rok'!AD15</f>
        <v>100</v>
      </c>
      <c r="K80" s="165">
        <f>'VI rok'!AE15</f>
        <v>4</v>
      </c>
    </row>
    <row r="81" spans="1:11" ht="15.75">
      <c r="A81" s="423">
        <v>8.6</v>
      </c>
      <c r="B81" s="451" t="s">
        <v>82</v>
      </c>
      <c r="C81" s="441" t="str">
        <f>"0912-7LEK-C"&amp;A81&amp;"-"&amp;UPPER(LEFT(B81,1))&amp;"R"</f>
        <v>0912-7LEK-C8,6-MR</v>
      </c>
      <c r="D81" s="442" t="s">
        <v>131</v>
      </c>
      <c r="E81" s="165">
        <f t="shared" si="15"/>
        <v>60</v>
      </c>
      <c r="F81" s="165">
        <f>'VI rok'!Z16</f>
        <v>0</v>
      </c>
      <c r="G81" s="165">
        <f>'VI rok'!AA16</f>
        <v>0</v>
      </c>
      <c r="H81" s="165">
        <f>'VI rok'!AB16</f>
        <v>60</v>
      </c>
      <c r="I81" s="165">
        <f>'VI rok'!AC16</f>
        <v>0</v>
      </c>
      <c r="J81" s="165">
        <f>'VI rok'!AD16</f>
        <v>100</v>
      </c>
      <c r="K81" s="165">
        <f>'VI rok'!AE16</f>
        <v>4</v>
      </c>
    </row>
    <row r="82" spans="1:11" ht="15.75">
      <c r="A82" s="423">
        <v>8.6999999999999993</v>
      </c>
      <c r="B82" s="451" t="s">
        <v>56</v>
      </c>
      <c r="C82" s="441" t="str">
        <f t="shared" si="14"/>
        <v>0912-7LEK-C8,7-M</v>
      </c>
      <c r="D82" s="442" t="s">
        <v>131</v>
      </c>
      <c r="E82" s="165">
        <f t="shared" si="15"/>
        <v>60</v>
      </c>
      <c r="F82" s="165">
        <f>'VI rok'!Z17</f>
        <v>0</v>
      </c>
      <c r="G82" s="165">
        <f>'VI rok'!AA17</f>
        <v>0</v>
      </c>
      <c r="H82" s="165">
        <f>'VI rok'!AB17</f>
        <v>60</v>
      </c>
      <c r="I82" s="165">
        <f>'VI rok'!AC17</f>
        <v>0</v>
      </c>
      <c r="J82" s="165">
        <f>'VI rok'!AD17</f>
        <v>100</v>
      </c>
      <c r="K82" s="165">
        <f>'VI rok'!AE17</f>
        <v>4</v>
      </c>
    </row>
    <row r="83" spans="1:11" ht="15.75">
      <c r="A83" s="423">
        <v>8.8000000000000007</v>
      </c>
      <c r="B83" s="451" t="s">
        <v>33</v>
      </c>
      <c r="C83" s="441" t="str">
        <f t="shared" si="14"/>
        <v>0912-7LEK-C8,8-S</v>
      </c>
      <c r="D83" s="442" t="s">
        <v>131</v>
      </c>
      <c r="E83" s="165">
        <f t="shared" si="15"/>
        <v>180</v>
      </c>
      <c r="F83" s="165">
        <f>'VI rok'!Z18</f>
        <v>0</v>
      </c>
      <c r="G83" s="165">
        <f>'VI rok'!AA18</f>
        <v>0</v>
      </c>
      <c r="H83" s="165">
        <f>'VI rok'!AB18</f>
        <v>180</v>
      </c>
      <c r="I83" s="165">
        <f>'VI rok'!AC18</f>
        <v>0</v>
      </c>
      <c r="J83" s="165">
        <f>'VI rok'!AD18</f>
        <v>300</v>
      </c>
      <c r="K83" s="165">
        <f>'VI rok'!AE18</f>
        <v>12</v>
      </c>
    </row>
    <row r="84" spans="1:11">
      <c r="A84" s="633" t="s">
        <v>9</v>
      </c>
      <c r="B84" s="634"/>
      <c r="C84" s="634"/>
      <c r="D84" s="635"/>
      <c r="E84" s="445">
        <f t="shared" ref="E84:K84" si="16">SUM(E76:E83)</f>
        <v>900</v>
      </c>
      <c r="F84" s="445">
        <f t="shared" si="16"/>
        <v>0</v>
      </c>
      <c r="G84" s="445">
        <f t="shared" si="16"/>
        <v>0</v>
      </c>
      <c r="H84" s="445">
        <f t="shared" si="16"/>
        <v>900</v>
      </c>
      <c r="I84" s="445">
        <f t="shared" si="16"/>
        <v>0</v>
      </c>
      <c r="J84" s="445">
        <f t="shared" si="16"/>
        <v>1500</v>
      </c>
      <c r="K84" s="445">
        <f t="shared" si="16"/>
        <v>60</v>
      </c>
    </row>
    <row r="85" spans="1:11">
      <c r="A85" s="630" t="s">
        <v>410</v>
      </c>
      <c r="B85" s="631"/>
      <c r="C85" s="631"/>
      <c r="D85" s="631"/>
      <c r="E85" s="631"/>
      <c r="F85" s="631"/>
      <c r="G85" s="631"/>
      <c r="H85" s="631"/>
      <c r="I85" s="631"/>
      <c r="J85" s="631"/>
      <c r="K85" s="632"/>
    </row>
    <row r="86" spans="1:11" ht="15.75">
      <c r="A86" s="417">
        <v>9.1</v>
      </c>
      <c r="B86" s="453" t="s">
        <v>83</v>
      </c>
      <c r="C86" s="163" t="str">
        <f t="shared" ref="C86:C93" si="17">"0912-7LEK-C"&amp;A86&amp;"-"&amp;UPPER(LEFT(B86,1))</f>
        <v>0912-7LEK-C9,1-O</v>
      </c>
      <c r="D86" s="164" t="s">
        <v>238</v>
      </c>
      <c r="E86" s="165">
        <f>'I rok'!Y29</f>
        <v>120</v>
      </c>
      <c r="F86" s="165">
        <v>0</v>
      </c>
      <c r="G86" s="165">
        <v>0</v>
      </c>
      <c r="H86" s="165">
        <f>'I rok'!AB29</f>
        <v>120</v>
      </c>
      <c r="I86" s="165">
        <v>0</v>
      </c>
      <c r="J86" s="165">
        <f>'I rok'!AD29</f>
        <v>120</v>
      </c>
      <c r="K86" s="165">
        <f>'I rok'!AE29</f>
        <v>4</v>
      </c>
    </row>
    <row r="87" spans="1:11" ht="15.75">
      <c r="A87" s="423">
        <v>9.1999999999999993</v>
      </c>
      <c r="B87" s="451" t="s">
        <v>232</v>
      </c>
      <c r="C87" s="441" t="str">
        <f t="shared" si="17"/>
        <v>0912-7LEK-C9,2-L</v>
      </c>
      <c r="D87" s="442" t="s">
        <v>140</v>
      </c>
      <c r="E87" s="443">
        <f>'II rok'!Y32</f>
        <v>90</v>
      </c>
      <c r="F87" s="443">
        <v>0</v>
      </c>
      <c r="G87" s="443">
        <v>0</v>
      </c>
      <c r="H87" s="443">
        <f>'II rok'!AB32</f>
        <v>90</v>
      </c>
      <c r="I87" s="443">
        <v>0</v>
      </c>
      <c r="J87" s="443">
        <f>'II rok'!AD32</f>
        <v>90</v>
      </c>
      <c r="K87" s="443">
        <f>'II rok'!AE32</f>
        <v>3</v>
      </c>
    </row>
    <row r="88" spans="1:11" ht="15.75">
      <c r="A88" s="423">
        <v>9.3000000000000007</v>
      </c>
      <c r="B88" s="451" t="s">
        <v>85</v>
      </c>
      <c r="C88" s="441" t="str">
        <f t="shared" si="17"/>
        <v>0912-7LEK-C9,3-P</v>
      </c>
      <c r="D88" s="442" t="s">
        <v>140</v>
      </c>
      <c r="E88" s="443">
        <f>'II rok'!Y33</f>
        <v>30</v>
      </c>
      <c r="F88" s="443">
        <v>0</v>
      </c>
      <c r="G88" s="443">
        <v>0</v>
      </c>
      <c r="H88" s="443">
        <f>'II rok'!AB33</f>
        <v>30</v>
      </c>
      <c r="I88" s="443">
        <v>0</v>
      </c>
      <c r="J88" s="443">
        <f>'II rok'!AD33</f>
        <v>30</v>
      </c>
      <c r="K88" s="443">
        <f>'II rok'!AE33</f>
        <v>1</v>
      </c>
    </row>
    <row r="89" spans="1:11" ht="15.75">
      <c r="A89" s="423">
        <v>9.4</v>
      </c>
      <c r="B89" s="451" t="s">
        <v>80</v>
      </c>
      <c r="C89" s="441" t="str">
        <f t="shared" si="17"/>
        <v>0912-7LEK-C9,4-C</v>
      </c>
      <c r="D89" s="442" t="s">
        <v>143</v>
      </c>
      <c r="E89" s="443">
        <f>'III rok'!Y26</f>
        <v>120</v>
      </c>
      <c r="F89" s="443">
        <v>0</v>
      </c>
      <c r="G89" s="443">
        <v>0</v>
      </c>
      <c r="H89" s="443">
        <f>'III rok'!AB26</f>
        <v>120</v>
      </c>
      <c r="I89" s="443">
        <v>0</v>
      </c>
      <c r="J89" s="443">
        <f>'III rok'!AD26</f>
        <v>120</v>
      </c>
      <c r="K89" s="443">
        <f>'III rok'!AE26</f>
        <v>4</v>
      </c>
    </row>
    <row r="90" spans="1:11" ht="15.75">
      <c r="A90" s="423">
        <v>9.5</v>
      </c>
      <c r="B90" s="451" t="s">
        <v>86</v>
      </c>
      <c r="C90" s="441" t="str">
        <f t="shared" si="17"/>
        <v>0912-7LEK-C9,5-I</v>
      </c>
      <c r="D90" s="442" t="s">
        <v>141</v>
      </c>
      <c r="E90" s="443">
        <f>'IV rok'!Y26</f>
        <v>60</v>
      </c>
      <c r="F90" s="443">
        <v>0</v>
      </c>
      <c r="G90" s="443">
        <v>0</v>
      </c>
      <c r="H90" s="443">
        <f>'IV rok'!AB26</f>
        <v>60</v>
      </c>
      <c r="I90" s="443">
        <v>0</v>
      </c>
      <c r="J90" s="443">
        <f>'IV rok'!AD26</f>
        <v>60</v>
      </c>
      <c r="K90" s="443">
        <f>'IV rok'!AE26</f>
        <v>2</v>
      </c>
    </row>
    <row r="91" spans="1:11" ht="15.75">
      <c r="A91" s="423">
        <v>9.6</v>
      </c>
      <c r="B91" s="451" t="s">
        <v>51</v>
      </c>
      <c r="C91" s="441" t="str">
        <f t="shared" si="17"/>
        <v>0912-7LEK-C9,6-P</v>
      </c>
      <c r="D91" s="442" t="s">
        <v>141</v>
      </c>
      <c r="E91" s="443">
        <f>'IV rok'!Y27</f>
        <v>60</v>
      </c>
      <c r="F91" s="443">
        <v>0</v>
      </c>
      <c r="G91" s="443">
        <v>0</v>
      </c>
      <c r="H91" s="443">
        <f>'IV rok'!AB27</f>
        <v>60</v>
      </c>
      <c r="I91" s="443">
        <v>0</v>
      </c>
      <c r="J91" s="443">
        <f>'IV rok'!AD27</f>
        <v>60</v>
      </c>
      <c r="K91" s="443">
        <f>'IV rok'!AE27</f>
        <v>2</v>
      </c>
    </row>
    <row r="92" spans="1:11" ht="15.75">
      <c r="A92" s="423">
        <v>9.6999999999999993</v>
      </c>
      <c r="B92" s="451" t="s">
        <v>81</v>
      </c>
      <c r="C92" s="441" t="str">
        <f t="shared" si="17"/>
        <v>0912-7LEK-C9,7-C</v>
      </c>
      <c r="D92" s="442" t="s">
        <v>129</v>
      </c>
      <c r="E92" s="443" t="e">
        <f>#REF!</f>
        <v>#REF!</v>
      </c>
      <c r="F92" s="443">
        <v>0</v>
      </c>
      <c r="G92" s="443">
        <v>0</v>
      </c>
      <c r="H92" s="443" t="e">
        <f>#REF!</f>
        <v>#REF!</v>
      </c>
      <c r="I92" s="443">
        <v>0</v>
      </c>
      <c r="J92" s="443" t="e">
        <f>#REF!</f>
        <v>#REF!</v>
      </c>
      <c r="K92" s="443" t="e">
        <f>#REF!</f>
        <v>#REF!</v>
      </c>
    </row>
    <row r="93" spans="1:11" ht="15.75">
      <c r="A93" s="423">
        <v>9.8000000000000007</v>
      </c>
      <c r="B93" s="451" t="s">
        <v>70</v>
      </c>
      <c r="C93" s="441" t="str">
        <f t="shared" si="17"/>
        <v>0912-7LEK-C9,8-G</v>
      </c>
      <c r="D93" s="442" t="s">
        <v>129</v>
      </c>
      <c r="E93" s="443" t="e">
        <f>#REF!</f>
        <v>#REF!</v>
      </c>
      <c r="F93" s="443">
        <v>0</v>
      </c>
      <c r="G93" s="443">
        <v>0</v>
      </c>
      <c r="H93" s="443" t="e">
        <f>#REF!</f>
        <v>#REF!</v>
      </c>
      <c r="I93" s="443">
        <v>0</v>
      </c>
      <c r="J93" s="443" t="e">
        <f>#REF!</f>
        <v>#REF!</v>
      </c>
      <c r="K93" s="443" t="e">
        <f>#REF!</f>
        <v>#REF!</v>
      </c>
    </row>
    <row r="94" spans="1:11">
      <c r="A94" s="637" t="s">
        <v>9</v>
      </c>
      <c r="B94" s="637"/>
      <c r="C94" s="454"/>
      <c r="D94" s="455"/>
      <c r="E94" s="456" t="e">
        <f>SUM(E86:E93)</f>
        <v>#REF!</v>
      </c>
      <c r="F94" s="456">
        <f t="shared" ref="F94:K94" si="18">SUM(F86:F93)</f>
        <v>0</v>
      </c>
      <c r="G94" s="456">
        <f t="shared" si="18"/>
        <v>0</v>
      </c>
      <c r="H94" s="456" t="e">
        <f t="shared" si="18"/>
        <v>#REF!</v>
      </c>
      <c r="I94" s="456">
        <f t="shared" si="18"/>
        <v>0</v>
      </c>
      <c r="J94" s="456" t="e">
        <f t="shared" si="18"/>
        <v>#REF!</v>
      </c>
      <c r="K94" s="456" t="e">
        <f t="shared" si="18"/>
        <v>#REF!</v>
      </c>
    </row>
    <row r="95" spans="1:11">
      <c r="A95" s="630" t="s">
        <v>408</v>
      </c>
      <c r="B95" s="631"/>
      <c r="C95" s="631"/>
      <c r="D95" s="631"/>
      <c r="E95" s="631"/>
      <c r="F95" s="631"/>
      <c r="G95" s="631"/>
      <c r="H95" s="631"/>
      <c r="I95" s="631"/>
      <c r="J95" s="631"/>
      <c r="K95" s="632"/>
    </row>
    <row r="96" spans="1:11" ht="15.75">
      <c r="A96" s="423">
        <v>10.199999999999999</v>
      </c>
      <c r="B96" s="451" t="s">
        <v>19</v>
      </c>
      <c r="C96" s="441" t="s">
        <v>312</v>
      </c>
      <c r="D96" s="442" t="s">
        <v>237</v>
      </c>
      <c r="E96" s="443">
        <f t="shared" ref="E96:E101" si="19">SUM(F96:I96)</f>
        <v>30</v>
      </c>
      <c r="F96" s="443">
        <v>0</v>
      </c>
      <c r="G96" s="443">
        <f>'I rok'!AA32</f>
        <v>30</v>
      </c>
      <c r="H96" s="443">
        <v>0</v>
      </c>
      <c r="I96" s="443">
        <v>0</v>
      </c>
      <c r="J96" s="443">
        <f>'I rok'!AD32</f>
        <v>30</v>
      </c>
      <c r="K96" s="443">
        <f>'I rok'!AE32</f>
        <v>1</v>
      </c>
    </row>
    <row r="97" spans="1:11" ht="18.75" customHeight="1">
      <c r="A97" s="423">
        <v>10.3</v>
      </c>
      <c r="B97" s="451" t="s">
        <v>425</v>
      </c>
      <c r="C97" s="441" t="s">
        <v>426</v>
      </c>
      <c r="D97" s="442" t="s">
        <v>237</v>
      </c>
      <c r="E97" s="443">
        <f t="shared" si="19"/>
        <v>2</v>
      </c>
      <c r="F97" s="443">
        <f>'I rok'!Z33</f>
        <v>0</v>
      </c>
      <c r="G97" s="443">
        <f>'I rok'!AA33</f>
        <v>2</v>
      </c>
      <c r="H97" s="443">
        <f>'I rok'!AB33</f>
        <v>0</v>
      </c>
      <c r="I97" s="443">
        <f>'I rok'!AC33</f>
        <v>0</v>
      </c>
      <c r="J97" s="443">
        <f>'I rok'!AD33</f>
        <v>2</v>
      </c>
      <c r="K97" s="443">
        <f>'I rok'!AE33</f>
        <v>0</v>
      </c>
    </row>
    <row r="98" spans="1:11" ht="15.75" customHeight="1">
      <c r="A98" s="423">
        <v>10.4</v>
      </c>
      <c r="B98" s="451" t="s">
        <v>30</v>
      </c>
      <c r="C98" s="441" t="str">
        <f>"0912-7LEK-A"&amp;A98&amp;"-"&amp;UPPER(LEFT(B98,1))&amp;"HP"</f>
        <v>0912-7LEK-A10,4-BHP</v>
      </c>
      <c r="D98" s="442" t="s">
        <v>237</v>
      </c>
      <c r="E98" s="443">
        <f t="shared" si="19"/>
        <v>5</v>
      </c>
      <c r="F98" s="443">
        <f>'I rok'!Z34</f>
        <v>5</v>
      </c>
      <c r="G98" s="443">
        <f>'I rok'!AA34</f>
        <v>0</v>
      </c>
      <c r="H98" s="443">
        <f>'I rok'!AB34</f>
        <v>0</v>
      </c>
      <c r="I98" s="443">
        <f>'I rok'!AC34</f>
        <v>0</v>
      </c>
      <c r="J98" s="443">
        <f>'I rok'!AD34</f>
        <v>5</v>
      </c>
      <c r="K98" s="443">
        <f>'I rok'!AE34</f>
        <v>0</v>
      </c>
    </row>
    <row r="99" spans="1:11" ht="18.75" customHeight="1">
      <c r="A99" s="423">
        <v>10.5</v>
      </c>
      <c r="B99" s="451" t="s">
        <v>108</v>
      </c>
      <c r="C99" s="441" t="str">
        <f>"0912-7LEK-A"&amp;A99&amp;"-"&amp;UPPER(LEFT(B99,1))&amp;"F"</f>
        <v>0912-7LEK-A10,5-WF</v>
      </c>
      <c r="D99" s="442" t="s">
        <v>236</v>
      </c>
      <c r="E99" s="443">
        <f>'I rok'!Y35</f>
        <v>60</v>
      </c>
      <c r="F99" s="443">
        <v>0</v>
      </c>
      <c r="G99" s="443">
        <f>'I rok'!AA35</f>
        <v>60</v>
      </c>
      <c r="H99" s="443">
        <v>0</v>
      </c>
      <c r="I99" s="443">
        <v>0</v>
      </c>
      <c r="J99" s="443">
        <f>'I rok'!AD35</f>
        <v>60</v>
      </c>
      <c r="K99" s="443">
        <f>'I rok'!AE35</f>
        <v>0</v>
      </c>
    </row>
    <row r="100" spans="1:11">
      <c r="A100" s="641"/>
      <c r="B100" s="619" t="s">
        <v>402</v>
      </c>
      <c r="C100" s="620"/>
      <c r="D100" s="442" t="s">
        <v>239</v>
      </c>
      <c r="E100" s="443">
        <f t="shared" si="19"/>
        <v>25</v>
      </c>
      <c r="F100" s="443">
        <f>'II rok'!Z36</f>
        <v>0</v>
      </c>
      <c r="G100" s="443">
        <f>'II rok'!AA36</f>
        <v>25</v>
      </c>
      <c r="H100" s="443">
        <f>'I rok'!AB36</f>
        <v>0</v>
      </c>
      <c r="I100" s="443">
        <f>'II rok'!AC36</f>
        <v>0</v>
      </c>
      <c r="J100" s="443">
        <f>'II rok'!AD36</f>
        <v>50</v>
      </c>
      <c r="K100" s="443">
        <f>'II rok'!AE36</f>
        <v>2</v>
      </c>
    </row>
    <row r="101" spans="1:11">
      <c r="A101" s="642"/>
      <c r="B101" s="621"/>
      <c r="C101" s="622"/>
      <c r="D101" s="442" t="s">
        <v>140</v>
      </c>
      <c r="E101" s="443">
        <f t="shared" si="19"/>
        <v>25</v>
      </c>
      <c r="F101" s="443">
        <f>'II rok'!Z37</f>
        <v>0</v>
      </c>
      <c r="G101" s="443">
        <f>'II rok'!AA37</f>
        <v>25</v>
      </c>
      <c r="H101" s="443">
        <f>'I rok'!AB37</f>
        <v>0</v>
      </c>
      <c r="I101" s="443">
        <f>'II rok'!AC37</f>
        <v>0</v>
      </c>
      <c r="J101" s="443">
        <f>'II rok'!AD37</f>
        <v>50</v>
      </c>
      <c r="K101" s="443">
        <f>'II rok'!AE37</f>
        <v>2</v>
      </c>
    </row>
    <row r="102" spans="1:11">
      <c r="A102" s="637" t="s">
        <v>9</v>
      </c>
      <c r="B102" s="637"/>
      <c r="C102" s="454"/>
      <c r="D102" s="455"/>
      <c r="E102" s="456">
        <f>SUM(E96:E101)</f>
        <v>147</v>
      </c>
      <c r="F102" s="456">
        <f>SUM(F96:F101)</f>
        <v>5</v>
      </c>
      <c r="G102" s="456">
        <f>SUM(G96:G101)</f>
        <v>142</v>
      </c>
      <c r="H102" s="456">
        <f>SUM(H96:H101)</f>
        <v>0</v>
      </c>
      <c r="I102" s="456" t="e">
        <f>SUM(I35:I99)</f>
        <v>#REF!</v>
      </c>
      <c r="J102" s="456">
        <f>SUM(J96:J101)</f>
        <v>197</v>
      </c>
      <c r="K102" s="456">
        <f>SUM(K96:K101)</f>
        <v>5</v>
      </c>
    </row>
    <row r="103" spans="1:11">
      <c r="A103" s="630" t="s">
        <v>416</v>
      </c>
      <c r="B103" s="631"/>
      <c r="C103" s="631"/>
      <c r="D103" s="631"/>
      <c r="E103" s="631"/>
      <c r="F103" s="631"/>
      <c r="G103" s="631"/>
      <c r="H103" s="631"/>
      <c r="I103" s="631"/>
      <c r="J103" s="631"/>
      <c r="K103" s="632"/>
    </row>
    <row r="104" spans="1:11" ht="15.75">
      <c r="A104" s="427">
        <v>1</v>
      </c>
      <c r="B104" s="79" t="s">
        <v>116</v>
      </c>
      <c r="C104" s="441"/>
      <c r="D104" s="442" t="s">
        <v>237</v>
      </c>
      <c r="E104" s="443">
        <f>SUM(F104:I104)</f>
        <v>15</v>
      </c>
      <c r="F104" s="443">
        <f>'I rok'!Z38</f>
        <v>15</v>
      </c>
      <c r="G104" s="443">
        <f>'I rok'!AA38</f>
        <v>0</v>
      </c>
      <c r="H104" s="443">
        <f>'I rok'!AB38</f>
        <v>0</v>
      </c>
      <c r="I104" s="443">
        <f>'I rok'!AC38</f>
        <v>0</v>
      </c>
      <c r="J104" s="443">
        <f>'I rok'!AD38</f>
        <v>25</v>
      </c>
      <c r="K104" s="443">
        <f>'I rok'!AE38</f>
        <v>1</v>
      </c>
    </row>
    <row r="105" spans="1:11" ht="15.75">
      <c r="A105" s="427">
        <v>2</v>
      </c>
      <c r="B105" s="79" t="s">
        <v>116</v>
      </c>
      <c r="C105" s="441"/>
      <c r="D105" s="442" t="s">
        <v>238</v>
      </c>
      <c r="E105" s="443">
        <f>SUM(F105:I105)</f>
        <v>15</v>
      </c>
      <c r="F105" s="443">
        <f>'I rok'!Z39</f>
        <v>15</v>
      </c>
      <c r="G105" s="443">
        <f>'I rok'!AA39</f>
        <v>0</v>
      </c>
      <c r="H105" s="443">
        <f>'I rok'!AB39</f>
        <v>0</v>
      </c>
      <c r="I105" s="443">
        <f>'I rok'!AC39</f>
        <v>0</v>
      </c>
      <c r="J105" s="443">
        <f>'I rok'!AD39</f>
        <v>25</v>
      </c>
      <c r="K105" s="443">
        <f>'I rok'!AE39</f>
        <v>1</v>
      </c>
    </row>
    <row r="106" spans="1:11" ht="15.75">
      <c r="A106" s="427">
        <v>3</v>
      </c>
      <c r="B106" s="79" t="s">
        <v>116</v>
      </c>
      <c r="C106" s="441"/>
      <c r="D106" s="442" t="s">
        <v>239</v>
      </c>
      <c r="E106" s="443">
        <f t="shared" ref="E106:E110" si="20">SUM(F106:I106)</f>
        <v>20</v>
      </c>
      <c r="F106" s="443">
        <f>'II rok'!Z40</f>
        <v>0</v>
      </c>
      <c r="G106" s="443">
        <f>'II rok'!AA40</f>
        <v>20</v>
      </c>
      <c r="H106" s="443">
        <f>'II rok'!AB40</f>
        <v>0</v>
      </c>
      <c r="I106" s="443">
        <f>'II rok'!AC40</f>
        <v>0</v>
      </c>
      <c r="J106" s="443">
        <f>'II rok'!AD40</f>
        <v>25</v>
      </c>
      <c r="K106" s="443">
        <f>'II rok'!AE40</f>
        <v>1</v>
      </c>
    </row>
    <row r="107" spans="1:11" ht="15.75">
      <c r="A107" s="427">
        <v>4</v>
      </c>
      <c r="B107" s="79" t="s">
        <v>116</v>
      </c>
      <c r="C107" s="441"/>
      <c r="D107" s="442" t="s">
        <v>239</v>
      </c>
      <c r="E107" s="443">
        <f>SUM(F107:I107)</f>
        <v>15</v>
      </c>
      <c r="F107" s="443">
        <f>'II rok'!Z41</f>
        <v>15</v>
      </c>
      <c r="G107" s="443">
        <f>'II rok'!AA41</f>
        <v>0</v>
      </c>
      <c r="H107" s="443">
        <f>'II rok'!AB41</f>
        <v>0</v>
      </c>
      <c r="I107" s="443">
        <f>'II rok'!AC41</f>
        <v>0</v>
      </c>
      <c r="J107" s="443">
        <f>'II rok'!AD41</f>
        <v>25</v>
      </c>
      <c r="K107" s="443">
        <f>'II rok'!AE41</f>
        <v>1</v>
      </c>
    </row>
    <row r="108" spans="1:11" ht="15.75">
      <c r="A108" s="427">
        <v>5</v>
      </c>
      <c r="B108" s="79" t="s">
        <v>116</v>
      </c>
      <c r="C108" s="441"/>
      <c r="D108" s="442" t="s">
        <v>239</v>
      </c>
      <c r="E108" s="443">
        <f>SUM(F108:I108)</f>
        <v>15</v>
      </c>
      <c r="F108" s="443">
        <f>'II rok'!Z42</f>
        <v>15</v>
      </c>
      <c r="G108" s="443">
        <f>'II rok'!AA42</f>
        <v>0</v>
      </c>
      <c r="H108" s="443">
        <f>'II rok'!AB42</f>
        <v>0</v>
      </c>
      <c r="I108" s="443">
        <f>'II rok'!AC42</f>
        <v>0</v>
      </c>
      <c r="J108" s="443">
        <f>'II rok'!AD42</f>
        <v>25</v>
      </c>
      <c r="K108" s="443">
        <f>'II rok'!AE42</f>
        <v>1</v>
      </c>
    </row>
    <row r="109" spans="1:11" ht="15.75">
      <c r="A109" s="427">
        <v>6</v>
      </c>
      <c r="B109" s="79" t="s">
        <v>116</v>
      </c>
      <c r="C109" s="441"/>
      <c r="D109" s="442" t="s">
        <v>140</v>
      </c>
      <c r="E109" s="443">
        <f>SUM(F109:I109)</f>
        <v>15</v>
      </c>
      <c r="F109" s="443">
        <f>'II rok'!Z43</f>
        <v>15</v>
      </c>
      <c r="G109" s="443">
        <f>'II rok'!AA43</f>
        <v>0</v>
      </c>
      <c r="H109" s="443">
        <f>'II rok'!AB43</f>
        <v>0</v>
      </c>
      <c r="I109" s="443">
        <f>'II rok'!AC43</f>
        <v>0</v>
      </c>
      <c r="J109" s="443">
        <f>'II rok'!AD43</f>
        <v>25</v>
      </c>
      <c r="K109" s="443">
        <f>'II rok'!AE43</f>
        <v>1</v>
      </c>
    </row>
    <row r="110" spans="1:11" ht="15.75">
      <c r="A110" s="427">
        <v>7</v>
      </c>
      <c r="B110" s="79" t="s">
        <v>116</v>
      </c>
      <c r="C110" s="441"/>
      <c r="D110" s="442" t="s">
        <v>140</v>
      </c>
      <c r="E110" s="443">
        <f t="shared" si="20"/>
        <v>20</v>
      </c>
      <c r="F110" s="443">
        <f>'II rok'!Z44</f>
        <v>0</v>
      </c>
      <c r="G110" s="443">
        <f>'II rok'!AA44</f>
        <v>20</v>
      </c>
      <c r="H110" s="443">
        <f>'II rok'!AB44</f>
        <v>0</v>
      </c>
      <c r="I110" s="443">
        <f>'II rok'!AC44</f>
        <v>0</v>
      </c>
      <c r="J110" s="443">
        <f>'II rok'!AD44</f>
        <v>25</v>
      </c>
      <c r="K110" s="443">
        <f>'II rok'!AE44</f>
        <v>1</v>
      </c>
    </row>
    <row r="111" spans="1:11" ht="15.75">
      <c r="A111" s="427">
        <v>8</v>
      </c>
      <c r="B111" s="79" t="s">
        <v>116</v>
      </c>
      <c r="C111" s="441"/>
      <c r="D111" s="442" t="s">
        <v>142</v>
      </c>
      <c r="E111" s="443">
        <f t="shared" ref="E111:E117" si="21">SUM(F111:I111)</f>
        <v>15</v>
      </c>
      <c r="F111" s="443">
        <f>'III rok'!Z32</f>
        <v>15</v>
      </c>
      <c r="G111" s="443">
        <f>'III rok'!AA32</f>
        <v>0</v>
      </c>
      <c r="H111" s="443">
        <f>'III rok'!AB32</f>
        <v>0</v>
      </c>
      <c r="I111" s="443">
        <f>'III rok'!AC32</f>
        <v>0</v>
      </c>
      <c r="J111" s="443">
        <f>'III rok'!AD32</f>
        <v>25</v>
      </c>
      <c r="K111" s="443">
        <f>'III rok'!AE32</f>
        <v>1</v>
      </c>
    </row>
    <row r="112" spans="1:11" ht="15.75">
      <c r="A112" s="427">
        <v>9</v>
      </c>
      <c r="B112" s="79" t="s">
        <v>116</v>
      </c>
      <c r="C112" s="441"/>
      <c r="D112" s="442" t="s">
        <v>142</v>
      </c>
      <c r="E112" s="443">
        <f t="shared" si="21"/>
        <v>15</v>
      </c>
      <c r="F112" s="443">
        <f>'III rok'!Z33</f>
        <v>15</v>
      </c>
      <c r="G112" s="443">
        <f>'III rok'!AA33</f>
        <v>0</v>
      </c>
      <c r="H112" s="443">
        <f>'III rok'!AB33</f>
        <v>0</v>
      </c>
      <c r="I112" s="443">
        <f>'III rok'!AC33</f>
        <v>0</v>
      </c>
      <c r="J112" s="443">
        <f>'III rok'!AD33</f>
        <v>25</v>
      </c>
      <c r="K112" s="443">
        <f>'III rok'!AE33</f>
        <v>1</v>
      </c>
    </row>
    <row r="113" spans="1:22" s="294" customFormat="1" ht="15.75">
      <c r="A113" s="427">
        <v>10</v>
      </c>
      <c r="B113" s="79" t="s">
        <v>116</v>
      </c>
      <c r="C113" s="441"/>
      <c r="D113" s="442" t="s">
        <v>142</v>
      </c>
      <c r="E113" s="443">
        <f t="shared" si="21"/>
        <v>15</v>
      </c>
      <c r="F113" s="443">
        <f>'III rok'!Z34</f>
        <v>0</v>
      </c>
      <c r="G113" s="443">
        <f>'III rok'!AA34</f>
        <v>15</v>
      </c>
      <c r="H113" s="443">
        <f>'III rok'!AB34</f>
        <v>0</v>
      </c>
      <c r="I113" s="443">
        <f>'III rok'!AC34</f>
        <v>0</v>
      </c>
      <c r="J113" s="443">
        <f>'III rok'!AD34</f>
        <v>25</v>
      </c>
      <c r="K113" s="443">
        <f>'III rok'!AE34</f>
        <v>1</v>
      </c>
    </row>
    <row r="114" spans="1:22" ht="15.75">
      <c r="A114" s="427">
        <v>11</v>
      </c>
      <c r="B114" s="79" t="s">
        <v>116</v>
      </c>
      <c r="C114" s="441"/>
      <c r="D114" s="442" t="s">
        <v>142</v>
      </c>
      <c r="E114" s="443">
        <f t="shared" si="21"/>
        <v>15</v>
      </c>
      <c r="F114" s="443">
        <f>'III rok'!Z35</f>
        <v>0</v>
      </c>
      <c r="G114" s="443">
        <f>'III rok'!AA35</f>
        <v>15</v>
      </c>
      <c r="H114" s="443">
        <f>'III rok'!AB35</f>
        <v>0</v>
      </c>
      <c r="I114" s="443">
        <f>'III rok'!AC35</f>
        <v>0</v>
      </c>
      <c r="J114" s="443">
        <f>'III rok'!AD35</f>
        <v>25</v>
      </c>
      <c r="K114" s="443">
        <f>'III rok'!AE35</f>
        <v>1</v>
      </c>
    </row>
    <row r="115" spans="1:22" s="294" customFormat="1" ht="15.75">
      <c r="A115" s="427">
        <v>12</v>
      </c>
      <c r="B115" s="79" t="s">
        <v>116</v>
      </c>
      <c r="C115" s="441"/>
      <c r="D115" s="442" t="s">
        <v>143</v>
      </c>
      <c r="E115" s="443">
        <f t="shared" si="21"/>
        <v>15</v>
      </c>
      <c r="F115" s="443">
        <f>'III rok'!Z36</f>
        <v>15</v>
      </c>
      <c r="G115" s="443">
        <f>'III rok'!AA36</f>
        <v>0</v>
      </c>
      <c r="H115" s="443">
        <f>'III rok'!AB36</f>
        <v>0</v>
      </c>
      <c r="I115" s="443">
        <f>'III rok'!AC36</f>
        <v>0</v>
      </c>
      <c r="J115" s="443">
        <f>'III rok'!AD36</f>
        <v>25</v>
      </c>
      <c r="K115" s="443">
        <f>'III rok'!AE36</f>
        <v>1</v>
      </c>
    </row>
    <row r="116" spans="1:22" ht="15.75">
      <c r="A116" s="427">
        <v>13</v>
      </c>
      <c r="B116" s="79" t="s">
        <v>116</v>
      </c>
      <c r="C116" s="441"/>
      <c r="D116" s="442" t="s">
        <v>143</v>
      </c>
      <c r="E116" s="443">
        <f t="shared" si="21"/>
        <v>15</v>
      </c>
      <c r="F116" s="443">
        <f>'III rok'!Z37</f>
        <v>15</v>
      </c>
      <c r="G116" s="443">
        <f>'III rok'!AA37</f>
        <v>0</v>
      </c>
      <c r="H116" s="443">
        <f>'III rok'!AB37</f>
        <v>0</v>
      </c>
      <c r="I116" s="443">
        <f>'III rok'!AC37</f>
        <v>0</v>
      </c>
      <c r="J116" s="443">
        <f>'III rok'!AD37</f>
        <v>25</v>
      </c>
      <c r="K116" s="443">
        <f>'III rok'!AE37</f>
        <v>1</v>
      </c>
    </row>
    <row r="117" spans="1:22" ht="15.75">
      <c r="A117" s="427">
        <v>14</v>
      </c>
      <c r="B117" s="79" t="s">
        <v>116</v>
      </c>
      <c r="C117" s="441"/>
      <c r="D117" s="442" t="s">
        <v>143</v>
      </c>
      <c r="E117" s="443">
        <f t="shared" si="21"/>
        <v>15</v>
      </c>
      <c r="F117" s="443">
        <f>'III rok'!Z38</f>
        <v>15</v>
      </c>
      <c r="G117" s="443">
        <f>'III rok'!AA38</f>
        <v>0</v>
      </c>
      <c r="H117" s="443">
        <f>'III rok'!AB38</f>
        <v>0</v>
      </c>
      <c r="I117" s="443">
        <f>'III rok'!AC38</f>
        <v>0</v>
      </c>
      <c r="J117" s="443">
        <f>'III rok'!AD38</f>
        <v>25</v>
      </c>
      <c r="K117" s="443">
        <f>'III rok'!AE38</f>
        <v>1</v>
      </c>
    </row>
    <row r="118" spans="1:22" ht="15.75">
      <c r="A118" s="427">
        <v>15</v>
      </c>
      <c r="B118" s="79" t="s">
        <v>116</v>
      </c>
      <c r="C118" s="441"/>
      <c r="D118" s="442" t="s">
        <v>144</v>
      </c>
      <c r="E118" s="443">
        <f t="shared" ref="E118:E127" si="22">SUM(F118:I118)</f>
        <v>15</v>
      </c>
      <c r="F118" s="443">
        <f>'IV rok'!Z33</f>
        <v>15</v>
      </c>
      <c r="G118" s="443">
        <f>'IV rok'!AA33</f>
        <v>0</v>
      </c>
      <c r="H118" s="443">
        <f>'IV rok'!AB33</f>
        <v>0</v>
      </c>
      <c r="I118" s="443">
        <f>'IV rok'!AC33</f>
        <v>0</v>
      </c>
      <c r="J118" s="443">
        <f>'IV rok'!AD33</f>
        <v>25</v>
      </c>
      <c r="K118" s="443">
        <f>'IV rok'!AE33</f>
        <v>1</v>
      </c>
    </row>
    <row r="119" spans="1:22" ht="15.75">
      <c r="A119" s="427">
        <v>16</v>
      </c>
      <c r="B119" s="79" t="s">
        <v>116</v>
      </c>
      <c r="C119" s="441"/>
      <c r="D119" s="442" t="s">
        <v>144</v>
      </c>
      <c r="E119" s="443">
        <f t="shared" si="22"/>
        <v>15</v>
      </c>
      <c r="F119" s="443">
        <f>'IV rok'!Z34</f>
        <v>15</v>
      </c>
      <c r="G119" s="443">
        <f>'IV rok'!AA34</f>
        <v>0</v>
      </c>
      <c r="H119" s="443">
        <f>'IV rok'!AB34</f>
        <v>0</v>
      </c>
      <c r="I119" s="443">
        <f>'IV rok'!AC34</f>
        <v>0</v>
      </c>
      <c r="J119" s="443">
        <f>'IV rok'!AD34</f>
        <v>25</v>
      </c>
      <c r="K119" s="443">
        <f>'IV rok'!AE34</f>
        <v>1</v>
      </c>
    </row>
    <row r="120" spans="1:22" ht="15.75">
      <c r="A120" s="427">
        <v>17</v>
      </c>
      <c r="B120" s="79" t="s">
        <v>116</v>
      </c>
      <c r="C120" s="441"/>
      <c r="D120" s="442" t="s">
        <v>144</v>
      </c>
      <c r="E120" s="443">
        <f t="shared" si="22"/>
        <v>15</v>
      </c>
      <c r="F120" s="443">
        <f>'IV rok'!Z35</f>
        <v>15</v>
      </c>
      <c r="G120" s="443">
        <f>'IV rok'!AA35</f>
        <v>0</v>
      </c>
      <c r="H120" s="443">
        <f>'IV rok'!AB35</f>
        <v>0</v>
      </c>
      <c r="I120" s="443">
        <f>'IV rok'!AC35</f>
        <v>0</v>
      </c>
      <c r="J120" s="443">
        <f>'IV rok'!AD35</f>
        <v>25</v>
      </c>
      <c r="K120" s="443">
        <f>'IV rok'!AE35</f>
        <v>1</v>
      </c>
      <c r="V120" s="102"/>
    </row>
    <row r="121" spans="1:22" ht="15.75">
      <c r="A121" s="427">
        <v>18</v>
      </c>
      <c r="B121" s="79" t="s">
        <v>116</v>
      </c>
      <c r="C121" s="441"/>
      <c r="D121" s="442" t="s">
        <v>141</v>
      </c>
      <c r="E121" s="443">
        <f t="shared" si="22"/>
        <v>15</v>
      </c>
      <c r="F121" s="443">
        <f>'IV rok'!Z36</f>
        <v>15</v>
      </c>
      <c r="G121" s="443">
        <f>'IV rok'!AA36</f>
        <v>0</v>
      </c>
      <c r="H121" s="443">
        <f>'IV rok'!AB36</f>
        <v>0</v>
      </c>
      <c r="I121" s="443">
        <f>'IV rok'!AC36</f>
        <v>0</v>
      </c>
      <c r="J121" s="443">
        <f>'IV rok'!AD36</f>
        <v>25</v>
      </c>
      <c r="K121" s="443">
        <f>'IV rok'!AE36</f>
        <v>1</v>
      </c>
      <c r="V121" s="102"/>
    </row>
    <row r="122" spans="1:22" ht="15.75">
      <c r="A122" s="427">
        <v>19</v>
      </c>
      <c r="B122" s="79" t="s">
        <v>116</v>
      </c>
      <c r="C122" s="441"/>
      <c r="D122" s="442" t="s">
        <v>141</v>
      </c>
      <c r="E122" s="443">
        <f t="shared" si="22"/>
        <v>15</v>
      </c>
      <c r="F122" s="443">
        <f>'IV rok'!Z37</f>
        <v>15</v>
      </c>
      <c r="G122" s="443">
        <f>'IV rok'!AA37</f>
        <v>0</v>
      </c>
      <c r="H122" s="443">
        <f>'IV rok'!AB37</f>
        <v>0</v>
      </c>
      <c r="I122" s="443">
        <f>'IV rok'!AC37</f>
        <v>0</v>
      </c>
      <c r="J122" s="443">
        <f>'IV rok'!AD37</f>
        <v>25</v>
      </c>
      <c r="K122" s="443">
        <f>'IV rok'!AE37</f>
        <v>1</v>
      </c>
      <c r="V122" s="102"/>
    </row>
    <row r="123" spans="1:22" ht="15.75">
      <c r="A123" s="427">
        <v>20</v>
      </c>
      <c r="B123" s="79" t="s">
        <v>116</v>
      </c>
      <c r="C123" s="441"/>
      <c r="D123" s="442" t="s">
        <v>141</v>
      </c>
      <c r="E123" s="443">
        <f t="shared" si="22"/>
        <v>15</v>
      </c>
      <c r="F123" s="443">
        <f>'IV rok'!Z38</f>
        <v>15</v>
      </c>
      <c r="G123" s="443">
        <f>'IV rok'!AA38</f>
        <v>0</v>
      </c>
      <c r="H123" s="443">
        <f>'IV rok'!AB38</f>
        <v>0</v>
      </c>
      <c r="I123" s="443">
        <f>'IV rok'!AC38</f>
        <v>0</v>
      </c>
      <c r="J123" s="443">
        <f>'IV rok'!AD38</f>
        <v>25</v>
      </c>
      <c r="K123" s="443">
        <f>'IV rok'!AE38</f>
        <v>1</v>
      </c>
      <c r="V123" s="102"/>
    </row>
    <row r="124" spans="1:22" ht="15.75">
      <c r="A124" s="427">
        <v>21</v>
      </c>
      <c r="B124" s="79" t="s">
        <v>116</v>
      </c>
      <c r="C124" s="441"/>
      <c r="D124" s="442" t="s">
        <v>126</v>
      </c>
      <c r="E124" s="443" t="e">
        <f t="shared" si="22"/>
        <v>#REF!</v>
      </c>
      <c r="F124" s="443" t="e">
        <f>#REF!</f>
        <v>#REF!</v>
      </c>
      <c r="G124" s="443" t="e">
        <f>#REF!</f>
        <v>#REF!</v>
      </c>
      <c r="H124" s="443" t="e">
        <f>#REF!</f>
        <v>#REF!</v>
      </c>
      <c r="I124" s="443" t="e">
        <f>#REF!</f>
        <v>#REF!</v>
      </c>
      <c r="J124" s="443" t="e">
        <f>#REF!</f>
        <v>#REF!</v>
      </c>
      <c r="K124" s="443" t="e">
        <f>#REF!</f>
        <v>#REF!</v>
      </c>
      <c r="V124" s="83"/>
    </row>
    <row r="125" spans="1:22" ht="15" customHeight="1">
      <c r="A125" s="427">
        <v>22</v>
      </c>
      <c r="B125" s="79" t="s">
        <v>116</v>
      </c>
      <c r="C125" s="441"/>
      <c r="D125" s="442" t="s">
        <v>126</v>
      </c>
      <c r="E125" s="443" t="e">
        <f>SUM(F125:I125)</f>
        <v>#REF!</v>
      </c>
      <c r="F125" s="443" t="e">
        <f>#REF!</f>
        <v>#REF!</v>
      </c>
      <c r="G125" s="443" t="e">
        <f>#REF!</f>
        <v>#REF!</v>
      </c>
      <c r="H125" s="443" t="e">
        <f>#REF!</f>
        <v>#REF!</v>
      </c>
      <c r="I125" s="443" t="e">
        <f>#REF!</f>
        <v>#REF!</v>
      </c>
      <c r="J125" s="443" t="e">
        <f>#REF!</f>
        <v>#REF!</v>
      </c>
      <c r="K125" s="443" t="e">
        <f>#REF!</f>
        <v>#REF!</v>
      </c>
    </row>
    <row r="126" spans="1:22" ht="15" customHeight="1">
      <c r="A126" s="427">
        <v>23</v>
      </c>
      <c r="B126" s="79" t="s">
        <v>116</v>
      </c>
      <c r="C126" s="441"/>
      <c r="D126" s="442" t="s">
        <v>129</v>
      </c>
      <c r="E126" s="443" t="e">
        <f t="shared" si="22"/>
        <v>#REF!</v>
      </c>
      <c r="F126" s="443" t="e">
        <f>#REF!</f>
        <v>#REF!</v>
      </c>
      <c r="G126" s="443" t="e">
        <f>#REF!</f>
        <v>#REF!</v>
      </c>
      <c r="H126" s="443" t="e">
        <f>#REF!</f>
        <v>#REF!</v>
      </c>
      <c r="I126" s="443" t="e">
        <f>#REF!</f>
        <v>#REF!</v>
      </c>
      <c r="J126" s="443" t="e">
        <f>#REF!</f>
        <v>#REF!</v>
      </c>
      <c r="K126" s="443" t="e">
        <f>#REF!</f>
        <v>#REF!</v>
      </c>
    </row>
    <row r="127" spans="1:22" ht="55.5" customHeight="1">
      <c r="A127" s="427">
        <v>24</v>
      </c>
      <c r="B127" s="288" t="s">
        <v>329</v>
      </c>
      <c r="C127" s="79"/>
      <c r="D127" s="442" t="s">
        <v>249</v>
      </c>
      <c r="E127" s="443" t="e">
        <f t="shared" si="22"/>
        <v>#REF!</v>
      </c>
      <c r="F127" s="443" t="e">
        <f>#REF!+'VI rok'!Z24</f>
        <v>#REF!</v>
      </c>
      <c r="G127" s="443" t="e">
        <f>#REF!+'VI rok'!AA24</f>
        <v>#REF!</v>
      </c>
      <c r="H127" s="443" t="e">
        <f>#REF!+'VI rok'!AB24</f>
        <v>#REF!</v>
      </c>
      <c r="I127" s="443" t="e">
        <f>#REF!+'VI rok'!AC24</f>
        <v>#REF!</v>
      </c>
      <c r="J127" s="443" t="e">
        <f>#REF!+'VI rok'!AD24</f>
        <v>#REF!</v>
      </c>
      <c r="K127" s="443" t="e">
        <f>#REF!+'VI rok'!AE24</f>
        <v>#REF!</v>
      </c>
    </row>
    <row r="128" spans="1:22" ht="15" customHeight="1">
      <c r="A128" s="615" t="s">
        <v>9</v>
      </c>
      <c r="B128" s="616"/>
      <c r="C128" s="616"/>
      <c r="D128" s="617"/>
      <c r="E128" s="456" t="e">
        <f t="shared" ref="E128:K128" si="23">SUM(E104:E127)</f>
        <v>#REF!</v>
      </c>
      <c r="F128" s="456" t="e">
        <f t="shared" si="23"/>
        <v>#REF!</v>
      </c>
      <c r="G128" s="456" t="e">
        <f t="shared" si="23"/>
        <v>#REF!</v>
      </c>
      <c r="H128" s="456" t="e">
        <f t="shared" si="23"/>
        <v>#REF!</v>
      </c>
      <c r="I128" s="456" t="e">
        <f t="shared" si="23"/>
        <v>#REF!</v>
      </c>
      <c r="J128" s="456" t="e">
        <f t="shared" si="23"/>
        <v>#REF!</v>
      </c>
      <c r="K128" s="456" t="e">
        <f t="shared" si="23"/>
        <v>#REF!</v>
      </c>
    </row>
    <row r="129" spans="1:11" ht="26.25" customHeight="1">
      <c r="A129" s="638" t="s">
        <v>233</v>
      </c>
      <c r="B129" s="639"/>
      <c r="C129" s="639"/>
      <c r="D129" s="640"/>
      <c r="E129" s="457" t="e">
        <f t="shared" ref="E129:K129" si="24">E8+E18+E28+E37+E52+E67+E74+E84+E94+E102+E128</f>
        <v>#REF!</v>
      </c>
      <c r="F129" s="457" t="e">
        <f t="shared" si="24"/>
        <v>#REF!</v>
      </c>
      <c r="G129" s="457" t="e">
        <f t="shared" si="24"/>
        <v>#REF!</v>
      </c>
      <c r="H129" s="457" t="e">
        <f t="shared" si="24"/>
        <v>#REF!</v>
      </c>
      <c r="I129" s="457" t="e">
        <f t="shared" si="24"/>
        <v>#REF!</v>
      </c>
      <c r="J129" s="457" t="e">
        <f>J8+J18+J28+J37+J52+J67+J74+J84+J94+J102+J128</f>
        <v>#REF!</v>
      </c>
      <c r="K129" s="457" t="e">
        <f t="shared" si="24"/>
        <v>#REF!</v>
      </c>
    </row>
    <row r="130" spans="1:11">
      <c r="A130" s="458"/>
      <c r="B130" s="458"/>
      <c r="C130" s="459"/>
      <c r="D130" s="460"/>
      <c r="E130" s="461"/>
      <c r="F130" s="461"/>
      <c r="G130" s="461"/>
      <c r="H130" s="461"/>
      <c r="I130" s="461"/>
      <c r="J130" s="461"/>
      <c r="K130" s="461"/>
    </row>
    <row r="132" spans="1:11" ht="15" customHeight="1">
      <c r="B132" s="628" t="s">
        <v>394</v>
      </c>
      <c r="C132" s="628"/>
      <c r="D132" s="628"/>
      <c r="E132" s="628"/>
      <c r="F132" s="628"/>
      <c r="G132" s="628"/>
    </row>
    <row r="133" spans="1:11">
      <c r="B133" s="628"/>
      <c r="C133" s="628"/>
      <c r="D133" s="628"/>
      <c r="E133" s="628"/>
      <c r="F133" s="628"/>
      <c r="G133" s="628"/>
    </row>
    <row r="134" spans="1:11">
      <c r="B134" s="628"/>
      <c r="C134" s="628"/>
      <c r="D134" s="628"/>
      <c r="E134" s="628"/>
      <c r="F134" s="628"/>
      <c r="G134" s="628"/>
    </row>
    <row r="135" spans="1:11">
      <c r="B135" s="628"/>
      <c r="C135" s="628"/>
      <c r="D135" s="628"/>
      <c r="E135" s="628"/>
      <c r="F135" s="628"/>
      <c r="G135" s="628"/>
    </row>
    <row r="136" spans="1:11">
      <c r="B136" s="628"/>
      <c r="C136" s="628"/>
      <c r="D136" s="628"/>
      <c r="E136" s="628"/>
      <c r="F136" s="628"/>
      <c r="G136" s="628"/>
    </row>
    <row r="137" spans="1:11">
      <c r="B137" s="628"/>
      <c r="C137" s="628"/>
      <c r="D137" s="628"/>
      <c r="E137" s="628"/>
      <c r="F137" s="628"/>
      <c r="G137" s="628"/>
    </row>
    <row r="138" spans="1:11">
      <c r="D138" s="466" t="s">
        <v>123</v>
      </c>
      <c r="E138" s="90"/>
      <c r="F138" s="293"/>
    </row>
    <row r="140" spans="1:11">
      <c r="C140" s="263"/>
    </row>
  </sheetData>
  <mergeCells count="32">
    <mergeCell ref="A128:D128"/>
    <mergeCell ref="A129:D129"/>
    <mergeCell ref="A100:A101"/>
    <mergeCell ref="B100:C101"/>
    <mergeCell ref="A102:B102"/>
    <mergeCell ref="A103:K103"/>
    <mergeCell ref="A68:K68"/>
    <mergeCell ref="A74:D74"/>
    <mergeCell ref="A75:K75"/>
    <mergeCell ref="A84:D84"/>
    <mergeCell ref="A85:K85"/>
    <mergeCell ref="A1:K1"/>
    <mergeCell ref="A2:B2"/>
    <mergeCell ref="A8:D8"/>
    <mergeCell ref="A9:K9"/>
    <mergeCell ref="U14:V14"/>
    <mergeCell ref="B132:G137"/>
    <mergeCell ref="A3:D3"/>
    <mergeCell ref="U13:AY13"/>
    <mergeCell ref="A95:K95"/>
    <mergeCell ref="A28:D28"/>
    <mergeCell ref="AB14:AJ14"/>
    <mergeCell ref="U27:V27"/>
    <mergeCell ref="A18:D18"/>
    <mergeCell ref="A19:K19"/>
    <mergeCell ref="A94:B94"/>
    <mergeCell ref="A29:K29"/>
    <mergeCell ref="A37:D37"/>
    <mergeCell ref="A38:K38"/>
    <mergeCell ref="A52:D52"/>
    <mergeCell ref="A53:K53"/>
    <mergeCell ref="A67:D67"/>
  </mergeCells>
  <pageMargins left="0.25" right="0.25" top="0.75" bottom="0.75" header="0.3" footer="0.3"/>
  <pageSetup paperSize="9" scale="74" fitToHeight="0" orientation="portrait" r:id="rId1"/>
  <rowBreaks count="2" manualBreakCount="2">
    <brk id="37" max="10" man="1"/>
    <brk id="94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zoomScale="90" zoomScaleNormal="90" workbookViewId="0">
      <pane ySplit="6" topLeftCell="A58" activePane="bottomLeft" state="frozen"/>
      <selection pane="bottomLeft" activeCell="C64" sqref="C64"/>
    </sheetView>
  </sheetViews>
  <sheetFormatPr defaultRowHeight="15"/>
  <cols>
    <col min="1" max="1" width="4" style="125" customWidth="1"/>
    <col min="2" max="2" width="3" style="102" bestFit="1" customWidth="1"/>
    <col min="3" max="3" width="58.42578125" style="97" customWidth="1"/>
    <col min="4" max="4" width="21.7109375" style="97" bestFit="1" customWidth="1"/>
    <col min="5" max="5" width="6.140625" style="102" customWidth="1"/>
    <col min="6" max="6" width="6.140625" style="121" customWidth="1"/>
    <col min="7" max="7" width="6.140625" style="102" customWidth="1"/>
    <col min="8" max="25" width="5.140625" style="102" customWidth="1"/>
    <col min="26" max="26" width="7" style="102" customWidth="1"/>
    <col min="27" max="30" width="6.140625" style="102" customWidth="1"/>
    <col min="31" max="31" width="9.140625" style="102" customWidth="1"/>
    <col min="32" max="32" width="7.140625" style="102" customWidth="1"/>
    <col min="33" max="16384" width="9.140625" style="97"/>
  </cols>
  <sheetData>
    <row r="1" spans="1:70" ht="76.5" customHeight="1" thickBot="1">
      <c r="A1" s="129"/>
      <c r="B1" s="162"/>
      <c r="C1" s="643" t="s">
        <v>266</v>
      </c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>
      <c r="B2" s="644"/>
      <c r="C2" s="645"/>
      <c r="D2" s="645"/>
      <c r="E2" s="645"/>
      <c r="F2" s="645"/>
      <c r="G2" s="646"/>
      <c r="H2" s="647" t="s">
        <v>103</v>
      </c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8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1:70" ht="13.5" customHeight="1">
      <c r="B3" s="649" t="s">
        <v>0</v>
      </c>
      <c r="C3" s="650" t="s">
        <v>4</v>
      </c>
      <c r="D3" s="650" t="s">
        <v>1</v>
      </c>
      <c r="E3" s="651" t="s">
        <v>8</v>
      </c>
      <c r="F3" s="651"/>
      <c r="G3" s="651"/>
      <c r="H3" s="652" t="s">
        <v>89</v>
      </c>
      <c r="I3" s="652"/>
      <c r="J3" s="652" t="s">
        <v>88</v>
      </c>
      <c r="K3" s="652"/>
      <c r="L3" s="652" t="s">
        <v>94</v>
      </c>
      <c r="M3" s="652"/>
      <c r="N3" s="652" t="s">
        <v>90</v>
      </c>
      <c r="O3" s="652"/>
      <c r="P3" s="657" t="s">
        <v>7</v>
      </c>
      <c r="Q3" s="659" t="s">
        <v>89</v>
      </c>
      <c r="R3" s="659"/>
      <c r="S3" s="659" t="s">
        <v>88</v>
      </c>
      <c r="T3" s="659"/>
      <c r="U3" s="659" t="s">
        <v>94</v>
      </c>
      <c r="V3" s="659"/>
      <c r="W3" s="659" t="s">
        <v>90</v>
      </c>
      <c r="X3" s="659"/>
      <c r="Y3" s="657" t="s">
        <v>7</v>
      </c>
      <c r="Z3" s="658" t="s">
        <v>5</v>
      </c>
      <c r="AA3" s="658" t="s">
        <v>89</v>
      </c>
      <c r="AB3" s="658" t="s">
        <v>88</v>
      </c>
      <c r="AC3" s="658" t="s">
        <v>94</v>
      </c>
      <c r="AD3" s="658" t="s">
        <v>90</v>
      </c>
      <c r="AE3" s="658" t="s">
        <v>14</v>
      </c>
      <c r="AF3" s="658" t="s">
        <v>6</v>
      </c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1:70" ht="13.5" customHeight="1">
      <c r="B4" s="649"/>
      <c r="C4" s="650"/>
      <c r="D4" s="650"/>
      <c r="E4" s="651"/>
      <c r="F4" s="651"/>
      <c r="G4" s="651"/>
      <c r="H4" s="652"/>
      <c r="I4" s="652"/>
      <c r="J4" s="652"/>
      <c r="K4" s="652"/>
      <c r="L4" s="652"/>
      <c r="M4" s="652"/>
      <c r="N4" s="652"/>
      <c r="O4" s="652"/>
      <c r="P4" s="657"/>
      <c r="Q4" s="659"/>
      <c r="R4" s="659"/>
      <c r="S4" s="659"/>
      <c r="T4" s="659"/>
      <c r="U4" s="659"/>
      <c r="V4" s="659"/>
      <c r="W4" s="659"/>
      <c r="X4" s="659"/>
      <c r="Y4" s="657"/>
      <c r="Z4" s="658"/>
      <c r="AA4" s="658"/>
      <c r="AB4" s="658"/>
      <c r="AC4" s="658"/>
      <c r="AD4" s="658"/>
      <c r="AE4" s="658"/>
      <c r="AF4" s="658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</row>
    <row r="5" spans="1:70" ht="18.75" customHeight="1">
      <c r="B5" s="649"/>
      <c r="C5" s="650"/>
      <c r="D5" s="650"/>
      <c r="E5" s="650" t="s">
        <v>2</v>
      </c>
      <c r="F5" s="650" t="s">
        <v>13</v>
      </c>
      <c r="G5" s="650" t="s">
        <v>12</v>
      </c>
      <c r="H5" s="652"/>
      <c r="I5" s="652"/>
      <c r="J5" s="652"/>
      <c r="K5" s="652"/>
      <c r="L5" s="652"/>
      <c r="M5" s="652"/>
      <c r="N5" s="652"/>
      <c r="O5" s="652"/>
      <c r="P5" s="657"/>
      <c r="Q5" s="659"/>
      <c r="R5" s="659"/>
      <c r="S5" s="659"/>
      <c r="T5" s="659"/>
      <c r="U5" s="659"/>
      <c r="V5" s="659"/>
      <c r="W5" s="659"/>
      <c r="X5" s="659"/>
      <c r="Y5" s="657"/>
      <c r="Z5" s="658"/>
      <c r="AA5" s="658"/>
      <c r="AB5" s="658"/>
      <c r="AC5" s="658"/>
      <c r="AD5" s="658"/>
      <c r="AE5" s="658"/>
      <c r="AF5" s="658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</row>
    <row r="6" spans="1:70" ht="45.75" customHeight="1">
      <c r="B6" s="649"/>
      <c r="C6" s="650"/>
      <c r="D6" s="650"/>
      <c r="E6" s="650"/>
      <c r="F6" s="650"/>
      <c r="G6" s="650"/>
      <c r="H6" s="105" t="s">
        <v>15</v>
      </c>
      <c r="I6" s="105" t="s">
        <v>16</v>
      </c>
      <c r="J6" s="105" t="s">
        <v>15</v>
      </c>
      <c r="K6" s="105" t="s">
        <v>16</v>
      </c>
      <c r="L6" s="105" t="s">
        <v>15</v>
      </c>
      <c r="M6" s="105" t="s">
        <v>16</v>
      </c>
      <c r="N6" s="105" t="s">
        <v>15</v>
      </c>
      <c r="O6" s="105" t="s">
        <v>16</v>
      </c>
      <c r="P6" s="657"/>
      <c r="Q6" s="105" t="s">
        <v>15</v>
      </c>
      <c r="R6" s="105" t="s">
        <v>16</v>
      </c>
      <c r="S6" s="105" t="s">
        <v>15</v>
      </c>
      <c r="T6" s="105" t="s">
        <v>16</v>
      </c>
      <c r="U6" s="105" t="s">
        <v>15</v>
      </c>
      <c r="V6" s="105" t="s">
        <v>16</v>
      </c>
      <c r="W6" s="105" t="s">
        <v>15</v>
      </c>
      <c r="X6" s="105" t="s">
        <v>16</v>
      </c>
      <c r="Y6" s="657"/>
      <c r="Z6" s="658"/>
      <c r="AA6" s="658"/>
      <c r="AB6" s="658"/>
      <c r="AC6" s="658"/>
      <c r="AD6" s="658"/>
      <c r="AE6" s="658"/>
      <c r="AF6" s="658"/>
    </row>
    <row r="7" spans="1:70" ht="24.75" customHeight="1">
      <c r="A7" s="653" t="s">
        <v>109</v>
      </c>
      <c r="B7" s="654" t="str">
        <f>'[2]I rok'!A46</f>
        <v>* Zajęcia fakultatywne (student w każdym semestrze wybiera 2 z 3)</v>
      </c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6"/>
    </row>
    <row r="8" spans="1:70" ht="24.75" customHeight="1">
      <c r="A8" s="653"/>
      <c r="B8" s="81">
        <v>1</v>
      </c>
      <c r="C8" s="107" t="s">
        <v>113</v>
      </c>
      <c r="D8" s="108" t="str">
        <f>"0912-7LEK-F-"&amp;B8&amp;"-"&amp;UPPER(LEFT(C8,1))&amp;"HKN"</f>
        <v>0912-7LEK-F-1-ZHKN</v>
      </c>
      <c r="E8" s="109"/>
      <c r="F8" s="110">
        <v>1</v>
      </c>
      <c r="G8" s="111"/>
      <c r="H8" s="281">
        <v>10</v>
      </c>
      <c r="I8" s="81">
        <v>15</v>
      </c>
      <c r="J8" s="81"/>
      <c r="K8" s="81"/>
      <c r="L8" s="81"/>
      <c r="M8" s="81"/>
      <c r="N8" s="81"/>
      <c r="O8" s="81"/>
      <c r="P8" s="111">
        <v>1</v>
      </c>
      <c r="Q8" s="281"/>
      <c r="R8" s="81"/>
      <c r="S8" s="81"/>
      <c r="T8" s="81"/>
      <c r="U8" s="81"/>
      <c r="V8" s="81"/>
      <c r="W8" s="81"/>
      <c r="X8" s="81"/>
      <c r="Y8" s="111"/>
      <c r="Z8" s="281">
        <v>10</v>
      </c>
      <c r="AA8" s="81">
        <v>10</v>
      </c>
      <c r="AB8" s="81"/>
      <c r="AC8" s="81"/>
      <c r="AD8" s="81"/>
      <c r="AE8" s="81">
        <f>SUM(H8:O8,Q8:X8)</f>
        <v>25</v>
      </c>
      <c r="AF8" s="81">
        <f>SUM(P8,Y8)</f>
        <v>1</v>
      </c>
    </row>
    <row r="9" spans="1:70" ht="24.75" customHeight="1">
      <c r="A9" s="653"/>
      <c r="B9" s="81">
        <v>2</v>
      </c>
      <c r="C9" s="87" t="s">
        <v>122</v>
      </c>
      <c r="D9" s="113" t="s">
        <v>325</v>
      </c>
      <c r="E9" s="109"/>
      <c r="F9" s="110">
        <v>2</v>
      </c>
      <c r="G9" s="111"/>
      <c r="H9" s="287">
        <v>10</v>
      </c>
      <c r="I9" s="81">
        <v>15</v>
      </c>
      <c r="J9" s="81"/>
      <c r="K9" s="81"/>
      <c r="L9" s="81"/>
      <c r="M9" s="81"/>
      <c r="N9" s="81"/>
      <c r="O9" s="81"/>
      <c r="P9" s="111">
        <v>1</v>
      </c>
      <c r="Q9" s="287"/>
      <c r="R9" s="81"/>
      <c r="S9" s="81"/>
      <c r="T9" s="81"/>
      <c r="U9" s="81"/>
      <c r="V9" s="81"/>
      <c r="W9" s="81"/>
      <c r="X9" s="81"/>
      <c r="Y9" s="111">
        <v>1</v>
      </c>
      <c r="Z9" s="295">
        <v>10</v>
      </c>
      <c r="AA9" s="81">
        <v>10</v>
      </c>
      <c r="AB9" s="81"/>
      <c r="AC9" s="81"/>
      <c r="AD9" s="81"/>
      <c r="AE9" s="81">
        <v>25</v>
      </c>
      <c r="AF9" s="81">
        <v>1</v>
      </c>
    </row>
    <row r="10" spans="1:70" ht="24.75" customHeight="1">
      <c r="A10" s="653"/>
      <c r="B10" s="81">
        <v>3</v>
      </c>
      <c r="C10" s="87" t="str">
        <f>'[2]I rok'!B50</f>
        <v>Struktury ciała ludzkiego w badaniach obrazowych</v>
      </c>
      <c r="D10" s="135" t="str">
        <f>'I rok'!$C$46</f>
        <v>0912-7LEK-F-3-SC</v>
      </c>
      <c r="E10" s="109"/>
      <c r="F10" s="110">
        <f>'[2]I rok'!E50</f>
        <v>2</v>
      </c>
      <c r="G10" s="111"/>
      <c r="H10" s="281"/>
      <c r="I10" s="81"/>
      <c r="J10" s="81"/>
      <c r="K10" s="81"/>
      <c r="L10" s="81"/>
      <c r="M10" s="81"/>
      <c r="N10" s="81"/>
      <c r="O10" s="81"/>
      <c r="P10" s="111"/>
      <c r="Q10" s="281">
        <v>10</v>
      </c>
      <c r="R10" s="81">
        <v>15</v>
      </c>
      <c r="S10" s="81"/>
      <c r="T10" s="81"/>
      <c r="U10" s="81"/>
      <c r="V10" s="81"/>
      <c r="W10" s="81"/>
      <c r="X10" s="81"/>
      <c r="Y10" s="111">
        <f>'[2]I rok'!X50</f>
        <v>1</v>
      </c>
      <c r="Z10" s="295">
        <v>10</v>
      </c>
      <c r="AA10" s="81">
        <v>10</v>
      </c>
      <c r="AB10" s="81"/>
      <c r="AC10" s="81"/>
      <c r="AD10" s="81"/>
      <c r="AE10" s="81">
        <f>'[2]I rok'!AD50</f>
        <v>25</v>
      </c>
      <c r="AF10" s="81">
        <f>'[2]I rok'!AE50</f>
        <v>1</v>
      </c>
    </row>
    <row r="11" spans="1:70" ht="24.75" customHeight="1">
      <c r="A11" s="653"/>
      <c r="B11" s="81">
        <v>4</v>
      </c>
      <c r="C11" s="87" t="str">
        <f>'[2]I rok'!B51</f>
        <v>Strukturalne podstawy interwencji sercowo-naczyniowych</v>
      </c>
      <c r="D11" s="135" t="str">
        <f>'I rok'!$C$47</f>
        <v>0912-7LEK-F-4-SSP</v>
      </c>
      <c r="E11" s="109"/>
      <c r="F11" s="110">
        <f>'[2]I rok'!E51</f>
        <v>2</v>
      </c>
      <c r="G11" s="111"/>
      <c r="H11" s="281"/>
      <c r="I11" s="81"/>
      <c r="J11" s="81"/>
      <c r="K11" s="81"/>
      <c r="L11" s="81"/>
      <c r="M11" s="81"/>
      <c r="N11" s="81"/>
      <c r="O11" s="81"/>
      <c r="P11" s="111"/>
      <c r="Q11" s="281">
        <v>10</v>
      </c>
      <c r="R11" s="81">
        <v>15</v>
      </c>
      <c r="S11" s="81"/>
      <c r="T11" s="81"/>
      <c r="U11" s="81"/>
      <c r="V11" s="81"/>
      <c r="W11" s="81"/>
      <c r="X11" s="81"/>
      <c r="Y11" s="111">
        <f>'[2]I rok'!X51</f>
        <v>1</v>
      </c>
      <c r="Z11" s="295">
        <v>10</v>
      </c>
      <c r="AA11" s="81">
        <v>10</v>
      </c>
      <c r="AB11" s="81"/>
      <c r="AC11" s="81"/>
      <c r="AD11" s="81"/>
      <c r="AE11" s="81">
        <f>'[2]I rok'!AD51</f>
        <v>25</v>
      </c>
      <c r="AF11" s="81">
        <f>'[2]I rok'!AE51</f>
        <v>1</v>
      </c>
    </row>
    <row r="12" spans="1:70" ht="24.75" customHeight="1">
      <c r="A12" s="653" t="s">
        <v>119</v>
      </c>
      <c r="B12" s="663" t="str">
        <f>'[2]II rok'!A46</f>
        <v>* Zajęcia fakultatywne (student wybiera w 3 semestrze 3 z 5; w 4 semestrze 3 z 6)</v>
      </c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5"/>
    </row>
    <row r="13" spans="1:70" ht="24.75" customHeight="1">
      <c r="A13" s="653"/>
      <c r="B13" s="120" t="s">
        <v>142</v>
      </c>
      <c r="C13" s="114" t="str">
        <f>'[2]II rok'!B48</f>
        <v>Praktyka medyczna oparta na dowodach naukowych (EBM)</v>
      </c>
      <c r="D13" s="135" t="s">
        <v>395</v>
      </c>
      <c r="E13" s="116"/>
      <c r="F13" s="117">
        <f>'[2]II rok'!E48</f>
        <v>3</v>
      </c>
      <c r="G13" s="118"/>
      <c r="H13" s="119"/>
      <c r="I13" s="120"/>
      <c r="J13" s="120" t="s">
        <v>149</v>
      </c>
      <c r="K13" s="120" t="s">
        <v>142</v>
      </c>
      <c r="L13" s="120"/>
      <c r="M13" s="120"/>
      <c r="N13" s="120"/>
      <c r="O13" s="120"/>
      <c r="P13" s="118">
        <f>'[2]II rok'!O48</f>
        <v>1</v>
      </c>
      <c r="Q13" s="119"/>
      <c r="R13" s="120"/>
      <c r="S13" s="120"/>
      <c r="T13" s="120"/>
      <c r="U13" s="120"/>
      <c r="V13" s="120"/>
      <c r="W13" s="120"/>
      <c r="X13" s="120"/>
      <c r="Y13" s="118"/>
      <c r="Z13" s="119" t="s">
        <v>149</v>
      </c>
      <c r="AA13" s="120"/>
      <c r="AB13" s="120" t="s">
        <v>149</v>
      </c>
      <c r="AC13" s="120"/>
      <c r="AD13" s="120"/>
      <c r="AE13" s="120">
        <f>'[2]II rok'!AD48</f>
        <v>25</v>
      </c>
      <c r="AF13" s="120">
        <f>'[2]II rok'!AE48</f>
        <v>1</v>
      </c>
    </row>
    <row r="14" spans="1:70" ht="24.75" customHeight="1">
      <c r="A14" s="653"/>
      <c r="B14" s="120" t="s">
        <v>143</v>
      </c>
      <c r="C14" s="114" t="str">
        <f>'[2]II rok'!B49</f>
        <v>Żywność modyfikowana genetycznie</v>
      </c>
      <c r="D14" s="135" t="s">
        <v>396</v>
      </c>
      <c r="E14" s="116"/>
      <c r="F14" s="117">
        <f>'[2]II rok'!E49</f>
        <v>3</v>
      </c>
      <c r="G14" s="118"/>
      <c r="H14" s="119" t="s">
        <v>129</v>
      </c>
      <c r="I14" s="120" t="s">
        <v>137</v>
      </c>
      <c r="J14" s="120"/>
      <c r="K14" s="120"/>
      <c r="L14" s="120"/>
      <c r="M14" s="120"/>
      <c r="N14" s="120"/>
      <c r="O14" s="120"/>
      <c r="P14" s="118">
        <f>'[2]II rok'!O49</f>
        <v>1</v>
      </c>
      <c r="Q14" s="119"/>
      <c r="R14" s="120"/>
      <c r="S14" s="120"/>
      <c r="T14" s="120"/>
      <c r="U14" s="120"/>
      <c r="V14" s="120"/>
      <c r="W14" s="120"/>
      <c r="X14" s="120"/>
      <c r="Y14" s="118"/>
      <c r="Z14" s="119" t="s">
        <v>129</v>
      </c>
      <c r="AA14" s="120">
        <f>'[2]II rok'!Z49</f>
        <v>15</v>
      </c>
      <c r="AB14" s="120"/>
      <c r="AC14" s="120"/>
      <c r="AD14" s="120"/>
      <c r="AE14" s="120">
        <f>'[2]II rok'!AD49</f>
        <v>25</v>
      </c>
      <c r="AF14" s="120">
        <f>'[2]II rok'!AE49</f>
        <v>1</v>
      </c>
    </row>
    <row r="15" spans="1:70" ht="24.75" customHeight="1">
      <c r="A15" s="653"/>
      <c r="B15" s="120" t="s">
        <v>144</v>
      </c>
      <c r="C15" s="114" t="str">
        <f>'[2]II rok'!B51</f>
        <v>Molekularne podstawy działania narządów zmysłów</v>
      </c>
      <c r="D15" s="135" t="str">
        <f>'II rok'!$C$52</f>
        <v>0912-7LEK-F7-RA</v>
      </c>
      <c r="E15" s="116"/>
      <c r="F15" s="117">
        <f>'[2]II rok'!E51</f>
        <v>3</v>
      </c>
      <c r="G15" s="118"/>
      <c r="H15" s="119" t="s">
        <v>129</v>
      </c>
      <c r="I15" s="120" t="s">
        <v>137</v>
      </c>
      <c r="J15" s="120"/>
      <c r="K15" s="120"/>
      <c r="L15" s="120"/>
      <c r="M15" s="120"/>
      <c r="N15" s="120"/>
      <c r="O15" s="120"/>
      <c r="P15" s="118">
        <f>'[2]II rok'!O51</f>
        <v>1</v>
      </c>
      <c r="Q15" s="119"/>
      <c r="R15" s="120"/>
      <c r="S15" s="120"/>
      <c r="T15" s="120"/>
      <c r="U15" s="120"/>
      <c r="V15" s="120"/>
      <c r="W15" s="120"/>
      <c r="X15" s="120"/>
      <c r="Y15" s="118"/>
      <c r="Z15" s="119" t="s">
        <v>129</v>
      </c>
      <c r="AA15" s="120">
        <f>'[2]II rok'!Z51</f>
        <v>15</v>
      </c>
      <c r="AB15" s="120"/>
      <c r="AC15" s="120"/>
      <c r="AD15" s="120"/>
      <c r="AE15" s="120">
        <f>'[2]II rok'!AD51</f>
        <v>25</v>
      </c>
      <c r="AF15" s="120">
        <f>'[2]II rok'!AE51</f>
        <v>1</v>
      </c>
    </row>
    <row r="16" spans="1:70" ht="24.75" customHeight="1">
      <c r="A16" s="653"/>
      <c r="B16" s="120" t="s">
        <v>141</v>
      </c>
      <c r="C16" s="114" t="str">
        <f>'[2]II rok'!B52</f>
        <v xml:space="preserve">Racjonalna antybiotykoterapia </v>
      </c>
      <c r="D16" s="135" t="str">
        <f>'II rok'!$C$53</f>
        <v>0912-7LEK-F8-MP</v>
      </c>
      <c r="E16" s="116"/>
      <c r="F16" s="117">
        <f>'[2]II rok'!E52</f>
        <v>3</v>
      </c>
      <c r="G16" s="118"/>
      <c r="H16" s="119" t="s">
        <v>129</v>
      </c>
      <c r="I16" s="120" t="s">
        <v>137</v>
      </c>
      <c r="J16" s="120"/>
      <c r="K16" s="120"/>
      <c r="L16" s="120"/>
      <c r="M16" s="120"/>
      <c r="N16" s="120"/>
      <c r="O16" s="120"/>
      <c r="P16" s="118">
        <f>'[2]II rok'!O52</f>
        <v>1</v>
      </c>
      <c r="Q16" s="119"/>
      <c r="R16" s="120"/>
      <c r="S16" s="120"/>
      <c r="T16" s="120"/>
      <c r="U16" s="120"/>
      <c r="V16" s="120"/>
      <c r="W16" s="120"/>
      <c r="X16" s="120"/>
      <c r="Y16" s="118"/>
      <c r="Z16" s="119" t="s">
        <v>129</v>
      </c>
      <c r="AA16" s="120">
        <f>'[2]II rok'!Z52</f>
        <v>15</v>
      </c>
      <c r="AB16" s="120"/>
      <c r="AC16" s="120"/>
      <c r="AD16" s="120"/>
      <c r="AE16" s="120">
        <f>'[2]II rok'!AD52</f>
        <v>25</v>
      </c>
      <c r="AF16" s="120">
        <f>'[2]II rok'!AE52</f>
        <v>1</v>
      </c>
    </row>
    <row r="17" spans="1:32" ht="24.75" customHeight="1">
      <c r="A17" s="653"/>
      <c r="B17" s="120" t="s">
        <v>126</v>
      </c>
      <c r="C17" s="114" t="str">
        <f>'[2]II rok'!B53</f>
        <v xml:space="preserve">Inżynieria genetyczna </v>
      </c>
      <c r="D17" s="135" t="str">
        <f>'II rok'!C54</f>
        <v>0912-7LEK-F9-IG</v>
      </c>
      <c r="E17" s="116"/>
      <c r="F17" s="117">
        <f>'[2]II rok'!E53</f>
        <v>4</v>
      </c>
      <c r="G17" s="118"/>
      <c r="H17" s="119"/>
      <c r="I17" s="120"/>
      <c r="J17" s="120"/>
      <c r="K17" s="120"/>
      <c r="L17" s="120"/>
      <c r="M17" s="120"/>
      <c r="N17" s="120"/>
      <c r="O17" s="120"/>
      <c r="P17" s="118"/>
      <c r="Q17" s="119" t="s">
        <v>129</v>
      </c>
      <c r="R17" s="120" t="s">
        <v>137</v>
      </c>
      <c r="S17" s="120"/>
      <c r="T17" s="120"/>
      <c r="U17" s="120"/>
      <c r="V17" s="120"/>
      <c r="W17" s="120"/>
      <c r="X17" s="120"/>
      <c r="Y17" s="118">
        <f>'[2]II rok'!X53</f>
        <v>1</v>
      </c>
      <c r="Z17" s="119" t="s">
        <v>129</v>
      </c>
      <c r="AA17" s="120" t="s">
        <v>137</v>
      </c>
      <c r="AB17" s="120"/>
      <c r="AC17" s="120"/>
      <c r="AD17" s="120"/>
      <c r="AE17" s="120">
        <f>'[2]II rok'!AD53</f>
        <v>25</v>
      </c>
      <c r="AF17" s="120">
        <f>'[2]II rok'!AE53</f>
        <v>1</v>
      </c>
    </row>
    <row r="18" spans="1:32" ht="24.75" customHeight="1">
      <c r="A18" s="653"/>
      <c r="B18" s="120" t="s">
        <v>129</v>
      </c>
      <c r="C18" s="114" t="str">
        <f>'[2]II rok'!B55</f>
        <v>Elektrofizjologia</v>
      </c>
      <c r="D18" s="135" t="str">
        <f>'II rok'!C55</f>
        <v>0912-7LEK-F-10-Ef</v>
      </c>
      <c r="E18" s="116"/>
      <c r="F18" s="117">
        <f>'[2]II rok'!E55</f>
        <v>4</v>
      </c>
      <c r="G18" s="118"/>
      <c r="H18" s="119"/>
      <c r="I18" s="120"/>
      <c r="J18" s="120"/>
      <c r="K18" s="120"/>
      <c r="L18" s="120"/>
      <c r="M18" s="120"/>
      <c r="N18" s="120"/>
      <c r="O18" s="120"/>
      <c r="P18" s="118"/>
      <c r="Q18" s="119"/>
      <c r="R18" s="120"/>
      <c r="S18" s="120" t="s">
        <v>149</v>
      </c>
      <c r="T18" s="120" t="s">
        <v>142</v>
      </c>
      <c r="U18" s="120"/>
      <c r="V18" s="120"/>
      <c r="W18" s="120"/>
      <c r="X18" s="120"/>
      <c r="Y18" s="118">
        <f>'[2]II rok'!X55</f>
        <v>1</v>
      </c>
      <c r="Z18" s="119" t="s">
        <v>149</v>
      </c>
      <c r="AA18" s="120"/>
      <c r="AB18" s="120" t="s">
        <v>149</v>
      </c>
      <c r="AC18" s="120"/>
      <c r="AD18" s="120"/>
      <c r="AE18" s="120">
        <f>'[2]II rok'!AD55</f>
        <v>25</v>
      </c>
      <c r="AF18" s="120">
        <f>'[2]II rok'!AE55</f>
        <v>1</v>
      </c>
    </row>
    <row r="19" spans="1:32" ht="24.75" customHeight="1">
      <c r="A19" s="653"/>
      <c r="B19" s="120" t="s">
        <v>130</v>
      </c>
      <c r="C19" s="114" t="str">
        <f>'[2]II rok'!B56</f>
        <v>Aparatura medyczna</v>
      </c>
      <c r="D19" s="135" t="str">
        <f>'II rok'!C56</f>
        <v>0912-7LEK-F-11-AM</v>
      </c>
      <c r="E19" s="116"/>
      <c r="F19" s="117">
        <f>'[2]II rok'!E56</f>
        <v>4</v>
      </c>
      <c r="G19" s="118"/>
      <c r="H19" s="119"/>
      <c r="I19" s="120"/>
      <c r="J19" s="120"/>
      <c r="K19" s="120"/>
      <c r="L19" s="120"/>
      <c r="M19" s="120"/>
      <c r="N19" s="120"/>
      <c r="O19" s="120"/>
      <c r="P19" s="118"/>
      <c r="Q19" s="119" t="s">
        <v>129</v>
      </c>
      <c r="R19" s="120" t="s">
        <v>137</v>
      </c>
      <c r="S19" s="120"/>
      <c r="T19" s="120"/>
      <c r="U19" s="120"/>
      <c r="V19" s="120"/>
      <c r="W19" s="120"/>
      <c r="X19" s="120"/>
      <c r="Y19" s="118">
        <f>'[2]II rok'!X56</f>
        <v>1</v>
      </c>
      <c r="Z19" s="119" t="s">
        <v>129</v>
      </c>
      <c r="AA19" s="120">
        <f>'[2]II rok'!Z56</f>
        <v>15</v>
      </c>
      <c r="AB19" s="120"/>
      <c r="AC19" s="120"/>
      <c r="AD19" s="120"/>
      <c r="AE19" s="120">
        <f>'[2]II rok'!AD56</f>
        <v>25</v>
      </c>
      <c r="AF19" s="120">
        <f>'[2]II rok'!AE56</f>
        <v>1</v>
      </c>
    </row>
    <row r="20" spans="1:32" ht="24.75" customHeight="1">
      <c r="A20" s="653"/>
      <c r="B20" s="120" t="s">
        <v>131</v>
      </c>
      <c r="C20" s="114" t="str">
        <f>'[2]II rok'!B57</f>
        <v>Immunologia onkologiczna</v>
      </c>
      <c r="D20" s="135" t="str">
        <f>'II rok'!C57</f>
        <v>0912-7LEK-F-12-IO</v>
      </c>
      <c r="E20" s="116"/>
      <c r="F20" s="117">
        <f>'[2]II rok'!E57</f>
        <v>4</v>
      </c>
      <c r="G20" s="118"/>
      <c r="H20" s="152"/>
      <c r="I20" s="153"/>
      <c r="J20" s="153"/>
      <c r="K20" s="153"/>
      <c r="L20" s="153"/>
      <c r="M20" s="153"/>
      <c r="N20" s="153"/>
      <c r="O20" s="153"/>
      <c r="P20" s="151"/>
      <c r="Q20" s="119" t="s">
        <v>129</v>
      </c>
      <c r="R20" s="120" t="s">
        <v>137</v>
      </c>
      <c r="S20" s="153"/>
      <c r="T20" s="153"/>
      <c r="U20" s="153"/>
      <c r="V20" s="153"/>
      <c r="W20" s="153"/>
      <c r="X20" s="153"/>
      <c r="Y20" s="151">
        <f>'[2]II rok'!X57</f>
        <v>1</v>
      </c>
      <c r="Z20" s="119" t="s">
        <v>129</v>
      </c>
      <c r="AA20" s="153">
        <f>'[2]II rok'!Z57</f>
        <v>15</v>
      </c>
      <c r="AB20" s="153"/>
      <c r="AC20" s="153"/>
      <c r="AD20" s="153"/>
      <c r="AE20" s="153">
        <f>'[2]II rok'!AD57</f>
        <v>25</v>
      </c>
      <c r="AF20" s="153">
        <f>'[2]II rok'!AE57</f>
        <v>1</v>
      </c>
    </row>
    <row r="21" spans="1:32" ht="24.75" customHeight="1">
      <c r="A21" s="282"/>
      <c r="B21" s="120" t="s">
        <v>132</v>
      </c>
      <c r="C21" s="171" t="s">
        <v>269</v>
      </c>
      <c r="D21" s="170" t="str">
        <f>'II rok'!C58</f>
        <v>0912-7LEK-F-13-HO</v>
      </c>
      <c r="E21" s="116"/>
      <c r="F21" s="117" t="s">
        <v>140</v>
      </c>
      <c r="G21" s="124"/>
      <c r="H21" s="116"/>
      <c r="I21" s="120"/>
      <c r="J21" s="120"/>
      <c r="K21" s="120"/>
      <c r="L21" s="120"/>
      <c r="M21" s="120"/>
      <c r="N21" s="120"/>
      <c r="O21" s="120"/>
      <c r="P21" s="118"/>
      <c r="Q21" s="119" t="s">
        <v>129</v>
      </c>
      <c r="R21" s="120" t="s">
        <v>137</v>
      </c>
      <c r="S21" s="120"/>
      <c r="T21" s="120"/>
      <c r="U21" s="120"/>
      <c r="V21" s="120"/>
      <c r="W21" s="120"/>
      <c r="X21" s="120"/>
      <c r="Y21" s="118">
        <f>'[2]II rok'!X58</f>
        <v>1</v>
      </c>
      <c r="Z21" s="119" t="s">
        <v>129</v>
      </c>
      <c r="AA21" s="120">
        <f>'[2]II rok'!Z58</f>
        <v>15</v>
      </c>
      <c r="AB21" s="120"/>
      <c r="AC21" s="120"/>
      <c r="AD21" s="120"/>
      <c r="AE21" s="120">
        <f>'[2]II rok'!AD58</f>
        <v>25</v>
      </c>
      <c r="AF21" s="120">
        <f>'[2]II rok'!AE58</f>
        <v>1</v>
      </c>
    </row>
    <row r="22" spans="1:32" ht="24.75" customHeight="1">
      <c r="A22" s="653" t="s">
        <v>145</v>
      </c>
      <c r="B22" s="663" t="str">
        <f>'III rok'!$A$42</f>
        <v>* Zajęcia fakultatywne (student wybiera w 5 semestrze 4 z 5 (2 w formie wykładowej i 2 w formie ćwiczeniowej); w 6 semestrze 3 z 4)</v>
      </c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664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664"/>
      <c r="AB22" s="664"/>
      <c r="AC22" s="664"/>
      <c r="AD22" s="664"/>
      <c r="AE22" s="664"/>
      <c r="AF22" s="665"/>
    </row>
    <row r="23" spans="1:32" ht="24.75" customHeight="1">
      <c r="A23" s="653"/>
      <c r="B23" s="120" t="s">
        <v>133</v>
      </c>
      <c r="C23" s="114" t="str">
        <f>'[2]III rok'!B43</f>
        <v>Patofizjologia nerek</v>
      </c>
      <c r="D23" s="135" t="str">
        <f>'III rok'!C44</f>
        <v>0912-7LEK-F-15-PN</v>
      </c>
      <c r="E23" s="116"/>
      <c r="F23" s="117">
        <f>'[2]III rok'!E43</f>
        <v>5</v>
      </c>
      <c r="G23" s="118"/>
      <c r="H23" s="119" t="s">
        <v>129</v>
      </c>
      <c r="I23" s="120" t="s">
        <v>137</v>
      </c>
      <c r="J23" s="120"/>
      <c r="K23" s="120"/>
      <c r="L23" s="120"/>
      <c r="M23" s="120"/>
      <c r="N23" s="120"/>
      <c r="O23" s="120"/>
      <c r="P23" s="118">
        <f>'[2]III rok'!O43</f>
        <v>1</v>
      </c>
      <c r="Q23" s="119"/>
      <c r="R23" s="120"/>
      <c r="S23" s="120"/>
      <c r="T23" s="120"/>
      <c r="U23" s="120"/>
      <c r="V23" s="120"/>
      <c r="W23" s="120"/>
      <c r="X23" s="120"/>
      <c r="Y23" s="118"/>
      <c r="Z23" s="119" t="s">
        <v>129</v>
      </c>
      <c r="AA23" s="120" t="s">
        <v>129</v>
      </c>
      <c r="AB23" s="120"/>
      <c r="AC23" s="120"/>
      <c r="AD23" s="120"/>
      <c r="AE23" s="120">
        <f>'[2]III rok'!AD43</f>
        <v>25</v>
      </c>
      <c r="AF23" s="120">
        <f>'[2]III rok'!AE43</f>
        <v>1</v>
      </c>
    </row>
    <row r="24" spans="1:32" ht="24.75" customHeight="1">
      <c r="A24" s="653"/>
      <c r="B24" s="120" t="s">
        <v>137</v>
      </c>
      <c r="C24" s="114" t="str">
        <f>'[2]III rok'!B44</f>
        <v xml:space="preserve">Patofizjologia trzustki </v>
      </c>
      <c r="D24" s="135" t="str">
        <f>'III rok'!C45</f>
        <v>0912-7LEK-F-16-PT</v>
      </c>
      <c r="E24" s="116"/>
      <c r="F24" s="117">
        <f>'[2]III rok'!E44</f>
        <v>5</v>
      </c>
      <c r="G24" s="118"/>
      <c r="H24" s="119" t="s">
        <v>129</v>
      </c>
      <c r="I24" s="120" t="s">
        <v>137</v>
      </c>
      <c r="J24" s="120"/>
      <c r="K24" s="120"/>
      <c r="L24" s="120"/>
      <c r="M24" s="120"/>
      <c r="N24" s="120"/>
      <c r="O24" s="120"/>
      <c r="P24" s="118">
        <f>'[2]III rok'!O44</f>
        <v>1</v>
      </c>
      <c r="Q24" s="119"/>
      <c r="R24" s="120"/>
      <c r="S24" s="120"/>
      <c r="T24" s="120"/>
      <c r="U24" s="120"/>
      <c r="V24" s="120"/>
      <c r="W24" s="120"/>
      <c r="X24" s="120"/>
      <c r="Y24" s="118"/>
      <c r="Z24" s="119" t="s">
        <v>129</v>
      </c>
      <c r="AA24" s="120" t="s">
        <v>129</v>
      </c>
      <c r="AB24" s="120"/>
      <c r="AC24" s="120"/>
      <c r="AD24" s="120"/>
      <c r="AE24" s="120">
        <f>'[2]III rok'!AD44</f>
        <v>25</v>
      </c>
      <c r="AF24" s="120">
        <f>'[2]III rok'!AE44</f>
        <v>1</v>
      </c>
    </row>
    <row r="25" spans="1:32" ht="24.75" customHeight="1">
      <c r="A25" s="653"/>
      <c r="B25" s="120" t="s">
        <v>138</v>
      </c>
      <c r="C25" s="87" t="str">
        <f>'[2]I rok'!B52</f>
        <v>Nowoczesne techniki mikroskopowe w medycynie</v>
      </c>
      <c r="D25" s="135" t="str">
        <f>'III rok'!$C$47</f>
        <v>0912-7LEK-F-18-NT</v>
      </c>
      <c r="E25" s="116"/>
      <c r="F25" s="117" t="s">
        <v>142</v>
      </c>
      <c r="G25" s="118"/>
      <c r="H25" s="119"/>
      <c r="I25" s="120"/>
      <c r="J25" s="120" t="s">
        <v>129</v>
      </c>
      <c r="K25" s="120" t="s">
        <v>137</v>
      </c>
      <c r="L25" s="120"/>
      <c r="M25" s="120"/>
      <c r="N25" s="120"/>
      <c r="O25" s="120"/>
      <c r="P25" s="118" t="s">
        <v>237</v>
      </c>
      <c r="Q25" s="119"/>
      <c r="R25" s="120"/>
      <c r="S25" s="120"/>
      <c r="T25" s="120"/>
      <c r="U25" s="120"/>
      <c r="V25" s="120"/>
      <c r="W25" s="120"/>
      <c r="X25" s="120"/>
      <c r="Y25" s="118"/>
      <c r="Z25" s="119"/>
      <c r="AA25" s="120"/>
      <c r="AB25" s="120"/>
      <c r="AC25" s="120"/>
      <c r="AD25" s="120"/>
      <c r="AE25" s="120" t="s">
        <v>193</v>
      </c>
      <c r="AF25" s="120" t="s">
        <v>237</v>
      </c>
    </row>
    <row r="26" spans="1:32" ht="24.75" customHeight="1">
      <c r="A26" s="653"/>
      <c r="B26" s="120" t="s">
        <v>139</v>
      </c>
      <c r="C26" s="87" t="s">
        <v>198</v>
      </c>
      <c r="D26" s="135" t="str">
        <f>'III rok'!C46</f>
        <v>0912-7LEK-F-20-MDPiM</v>
      </c>
      <c r="E26" s="116"/>
      <c r="F26" s="117"/>
      <c r="G26" s="118"/>
      <c r="H26" s="119" t="s">
        <v>129</v>
      </c>
      <c r="I26" s="120" t="s">
        <v>137</v>
      </c>
      <c r="J26" s="120"/>
      <c r="K26" s="120"/>
      <c r="L26" s="120"/>
      <c r="M26" s="120"/>
      <c r="N26" s="120"/>
      <c r="O26" s="120"/>
      <c r="P26" s="118" t="s">
        <v>237</v>
      </c>
      <c r="Q26" s="119"/>
      <c r="R26" s="120"/>
      <c r="S26" s="120"/>
      <c r="T26" s="120"/>
      <c r="U26" s="120"/>
      <c r="V26" s="120"/>
      <c r="W26" s="120"/>
      <c r="X26" s="120"/>
      <c r="Y26" s="118"/>
      <c r="Z26" s="119" t="s">
        <v>129</v>
      </c>
      <c r="AA26" s="120" t="s">
        <v>129</v>
      </c>
      <c r="AB26" s="120"/>
      <c r="AC26" s="120"/>
      <c r="AD26" s="120"/>
      <c r="AE26" s="120" t="s">
        <v>193</v>
      </c>
      <c r="AF26" s="120" t="s">
        <v>237</v>
      </c>
    </row>
    <row r="27" spans="1:32" ht="24.75" customHeight="1">
      <c r="A27" s="653"/>
      <c r="B27" s="120" t="s">
        <v>147</v>
      </c>
      <c r="C27" s="114" t="str">
        <f>'[2]III rok'!B46</f>
        <v>Interwencja kryzysowa
 (przedmiot realizowany w formie ćwiczeń)</v>
      </c>
      <c r="D27" s="135" t="str">
        <f>'III rok'!C48</f>
        <v>0912-7LEK-F-19-IK</v>
      </c>
      <c r="E27" s="116"/>
      <c r="F27" s="117">
        <f>'[2]III rok'!E46</f>
        <v>5</v>
      </c>
      <c r="G27" s="118"/>
      <c r="H27" s="119"/>
      <c r="I27" s="120"/>
      <c r="J27" s="120" t="s">
        <v>129</v>
      </c>
      <c r="K27" s="120" t="s">
        <v>137</v>
      </c>
      <c r="L27" s="120"/>
      <c r="M27" s="120"/>
      <c r="N27" s="120"/>
      <c r="O27" s="120"/>
      <c r="P27" s="118">
        <f>'[2]III rok'!O46</f>
        <v>1</v>
      </c>
      <c r="Q27" s="119"/>
      <c r="R27" s="120"/>
      <c r="S27" s="120"/>
      <c r="T27" s="120"/>
      <c r="U27" s="120"/>
      <c r="V27" s="120"/>
      <c r="W27" s="120"/>
      <c r="X27" s="120"/>
      <c r="Y27" s="118"/>
      <c r="Z27" s="119" t="s">
        <v>129</v>
      </c>
      <c r="AA27" s="120">
        <f>'[2]III rok'!Z46</f>
        <v>0</v>
      </c>
      <c r="AB27" s="120" t="s">
        <v>129</v>
      </c>
      <c r="AC27" s="120"/>
      <c r="AD27" s="120"/>
      <c r="AE27" s="120">
        <f>'[2]III rok'!AD46</f>
        <v>25</v>
      </c>
      <c r="AF27" s="120">
        <f>'[2]III rok'!AE46</f>
        <v>1</v>
      </c>
    </row>
    <row r="28" spans="1:32" ht="24.75" customHeight="1">
      <c r="A28" s="653"/>
      <c r="B28" s="120" t="s">
        <v>148</v>
      </c>
      <c r="C28" s="114" t="str">
        <f>'[2]III rok'!B47</f>
        <v>Język migowy 
 (przedmiot realizowany w formie ćwiczeń)</v>
      </c>
      <c r="D28" s="135" t="str">
        <f>'III rok'!C49</f>
        <v>0912-7LEK-F-20-JM</v>
      </c>
      <c r="E28" s="116"/>
      <c r="F28" s="117">
        <f>'[2]III rok'!E47</f>
        <v>5</v>
      </c>
      <c r="G28" s="118"/>
      <c r="H28" s="119"/>
      <c r="I28" s="120"/>
      <c r="J28" s="120" t="s">
        <v>129</v>
      </c>
      <c r="K28" s="120" t="s">
        <v>137</v>
      </c>
      <c r="L28" s="120"/>
      <c r="M28" s="120"/>
      <c r="N28" s="120"/>
      <c r="O28" s="120"/>
      <c r="P28" s="118">
        <f>'[2]III rok'!O47</f>
        <v>1</v>
      </c>
      <c r="Q28" s="119"/>
      <c r="R28" s="120"/>
      <c r="S28" s="120"/>
      <c r="T28" s="120"/>
      <c r="U28" s="120"/>
      <c r="V28" s="120"/>
      <c r="W28" s="120"/>
      <c r="X28" s="120"/>
      <c r="Y28" s="118"/>
      <c r="Z28" s="119" t="s">
        <v>129</v>
      </c>
      <c r="AA28" s="120">
        <f>'[2]III rok'!Z47</f>
        <v>0</v>
      </c>
      <c r="AB28" s="120" t="s">
        <v>129</v>
      </c>
      <c r="AC28" s="120"/>
      <c r="AD28" s="120"/>
      <c r="AE28" s="120">
        <f>'[2]III rok'!AD47</f>
        <v>25</v>
      </c>
      <c r="AF28" s="120">
        <f>'[2]III rok'!AE47</f>
        <v>1</v>
      </c>
    </row>
    <row r="29" spans="1:32" ht="24.75" customHeight="1">
      <c r="A29" s="653"/>
      <c r="B29" s="120" t="s">
        <v>149</v>
      </c>
      <c r="C29" s="87" t="str">
        <f>'[2]I rok'!B49</f>
        <v>Aktywne składniki materii żywej</v>
      </c>
      <c r="D29" s="113" t="str">
        <f>'[2]I rok'!C49</f>
        <v>0912-7LEK-F-3-ASMŻ</v>
      </c>
      <c r="E29" s="116"/>
      <c r="F29" s="117" t="s">
        <v>143</v>
      </c>
      <c r="G29" s="118"/>
      <c r="H29" s="119"/>
      <c r="I29" s="120"/>
      <c r="J29" s="120"/>
      <c r="K29" s="120"/>
      <c r="L29" s="120"/>
      <c r="M29" s="120"/>
      <c r="N29" s="120"/>
      <c r="O29" s="120"/>
      <c r="P29" s="118"/>
      <c r="Q29" s="119" t="s">
        <v>129</v>
      </c>
      <c r="R29" s="120" t="s">
        <v>137</v>
      </c>
      <c r="S29" s="120"/>
      <c r="T29" s="120"/>
      <c r="U29" s="120"/>
      <c r="V29" s="120"/>
      <c r="W29" s="120"/>
      <c r="X29" s="120"/>
      <c r="Y29" s="118"/>
      <c r="Z29" s="119" t="s">
        <v>129</v>
      </c>
      <c r="AA29" s="120" t="s">
        <v>129</v>
      </c>
      <c r="AB29" s="120"/>
      <c r="AC29" s="120"/>
      <c r="AD29" s="120"/>
      <c r="AE29" s="120" t="s">
        <v>193</v>
      </c>
      <c r="AF29" s="120" t="s">
        <v>237</v>
      </c>
    </row>
    <row r="30" spans="1:32" ht="24.75" customHeight="1">
      <c r="A30" s="653"/>
      <c r="B30" s="120" t="s">
        <v>150</v>
      </c>
      <c r="C30" s="114" t="str">
        <f>'[2]III rok'!B48</f>
        <v>Patomorfologia zmian zapalnych o różnej etiologii</v>
      </c>
      <c r="D30" s="135" t="str">
        <f>'III rok'!C50</f>
        <v>0912-7LEK-F-21-PZ</v>
      </c>
      <c r="E30" s="116"/>
      <c r="F30" s="117">
        <f>'[2]III rok'!E48</f>
        <v>6</v>
      </c>
      <c r="G30" s="118"/>
      <c r="H30" s="119"/>
      <c r="I30" s="120"/>
      <c r="J30" s="120"/>
      <c r="K30" s="120"/>
      <c r="L30" s="120"/>
      <c r="M30" s="120"/>
      <c r="N30" s="120"/>
      <c r="O30" s="120"/>
      <c r="P30" s="118"/>
      <c r="Q30" s="119" t="s">
        <v>129</v>
      </c>
      <c r="R30" s="120" t="s">
        <v>137</v>
      </c>
      <c r="S30" s="120"/>
      <c r="T30" s="120"/>
      <c r="U30" s="120"/>
      <c r="V30" s="120"/>
      <c r="W30" s="120"/>
      <c r="X30" s="120"/>
      <c r="Y30" s="118">
        <f>'[2]III rok'!X48</f>
        <v>1</v>
      </c>
      <c r="Z30" s="119" t="s">
        <v>129</v>
      </c>
      <c r="AA30" s="120" t="s">
        <v>129</v>
      </c>
      <c r="AB30" s="120"/>
      <c r="AC30" s="120"/>
      <c r="AD30" s="120"/>
      <c r="AE30" s="120" t="s">
        <v>193</v>
      </c>
      <c r="AF30" s="120">
        <f>'[2]III rok'!AE48</f>
        <v>1</v>
      </c>
    </row>
    <row r="31" spans="1:32" ht="24.75" customHeight="1">
      <c r="A31" s="653"/>
      <c r="B31" s="120" t="s">
        <v>190</v>
      </c>
      <c r="C31" s="114" t="str">
        <f>'[2]III rok'!B49</f>
        <v>Specyfika narządowa raportów patomorfologicznych nowotworów</v>
      </c>
      <c r="D31" s="135" t="str">
        <f>'III rok'!C51</f>
        <v>0912-7LEK-F-22-S</v>
      </c>
      <c r="E31" s="116"/>
      <c r="F31" s="117">
        <f>'[2]III rok'!E49</f>
        <v>6</v>
      </c>
      <c r="G31" s="118"/>
      <c r="H31" s="119"/>
      <c r="I31" s="120"/>
      <c r="J31" s="120"/>
      <c r="K31" s="120"/>
      <c r="L31" s="120"/>
      <c r="M31" s="120"/>
      <c r="N31" s="120"/>
      <c r="O31" s="120"/>
      <c r="P31" s="118"/>
      <c r="Q31" s="119" t="s">
        <v>129</v>
      </c>
      <c r="R31" s="120" t="s">
        <v>137</v>
      </c>
      <c r="S31" s="120"/>
      <c r="T31" s="120"/>
      <c r="U31" s="120"/>
      <c r="V31" s="120"/>
      <c r="W31" s="120"/>
      <c r="X31" s="120"/>
      <c r="Y31" s="118">
        <f>'[2]III rok'!X49</f>
        <v>1</v>
      </c>
      <c r="Z31" s="119" t="s">
        <v>129</v>
      </c>
      <c r="AA31" s="120" t="s">
        <v>129</v>
      </c>
      <c r="AB31" s="120"/>
      <c r="AC31" s="120"/>
      <c r="AD31" s="120"/>
      <c r="AE31" s="120">
        <f>'[2]III rok'!AD49</f>
        <v>25</v>
      </c>
      <c r="AF31" s="120">
        <f>'[2]III rok'!AE49</f>
        <v>1</v>
      </c>
    </row>
    <row r="32" spans="1:32" ht="24.75" customHeight="1">
      <c r="A32" s="653"/>
      <c r="B32" s="120" t="s">
        <v>191</v>
      </c>
      <c r="C32" s="114" t="str">
        <f>'[2]III rok'!B50</f>
        <v>Patofizjologia układu endokrynnego</v>
      </c>
      <c r="D32" s="135" t="str">
        <f>'III rok'!C52</f>
        <v>0912-7LEK-F-23-PUE</v>
      </c>
      <c r="E32" s="116"/>
      <c r="F32" s="117">
        <f>'[2]III rok'!E50</f>
        <v>6</v>
      </c>
      <c r="G32" s="118"/>
      <c r="H32" s="119"/>
      <c r="I32" s="120"/>
      <c r="J32" s="120"/>
      <c r="K32" s="120"/>
      <c r="L32" s="120"/>
      <c r="M32" s="120"/>
      <c r="N32" s="120"/>
      <c r="O32" s="120"/>
      <c r="P32" s="118"/>
      <c r="Q32" s="119" t="s">
        <v>129</v>
      </c>
      <c r="R32" s="120" t="s">
        <v>137</v>
      </c>
      <c r="S32" s="120"/>
      <c r="T32" s="120"/>
      <c r="U32" s="120"/>
      <c r="V32" s="120"/>
      <c r="W32" s="120"/>
      <c r="X32" s="120"/>
      <c r="Y32" s="118">
        <f>'[2]III rok'!X50</f>
        <v>1</v>
      </c>
      <c r="Z32" s="119" t="s">
        <v>129</v>
      </c>
      <c r="AA32" s="120" t="s">
        <v>129</v>
      </c>
      <c r="AB32" s="120"/>
      <c r="AC32" s="120"/>
      <c r="AD32" s="120"/>
      <c r="AE32" s="120">
        <f>'[2]III rok'!AD50</f>
        <v>25</v>
      </c>
      <c r="AF32" s="120">
        <f>'[2]III rok'!AE50</f>
        <v>1</v>
      </c>
    </row>
    <row r="33" spans="1:32" ht="24.75" customHeight="1">
      <c r="A33" s="653" t="s">
        <v>146</v>
      </c>
      <c r="B33" s="663" t="str">
        <f>'IV rok'!$A$42</f>
        <v>* Zajęcia fakultatywne ( student wybiera z grupy 9 przedmiotów: 3przedmioty w 7 semestrze oraz 3 przedmioty w 8 semestrze)</v>
      </c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5"/>
    </row>
    <row r="34" spans="1:32" ht="24.75" customHeight="1">
      <c r="A34" s="653"/>
      <c r="B34" s="120" t="s">
        <v>192</v>
      </c>
      <c r="C34" s="114" t="str">
        <f>'[2]IV rok'!B43</f>
        <v>Dermatologia pediatryczna</v>
      </c>
      <c r="D34" s="135" t="str">
        <f>'IV rok'!C43</f>
        <v>0912-7LEK-F25-D</v>
      </c>
      <c r="E34" s="116"/>
      <c r="F34" s="117">
        <f>'[2]IV rok'!E43</f>
        <v>7</v>
      </c>
      <c r="G34" s="118"/>
      <c r="H34" s="119">
        <f>'[2]IV rok'!G43</f>
        <v>15</v>
      </c>
      <c r="I34" s="120">
        <f>'[2]IV rok'!H43</f>
        <v>10</v>
      </c>
      <c r="J34" s="120"/>
      <c r="K34" s="120"/>
      <c r="L34" s="120"/>
      <c r="M34" s="120"/>
      <c r="N34" s="120"/>
      <c r="O34" s="120"/>
      <c r="P34" s="118">
        <f>'[2]IV rok'!O43</f>
        <v>1</v>
      </c>
      <c r="Q34" s="119"/>
      <c r="R34" s="120"/>
      <c r="S34" s="120"/>
      <c r="T34" s="120"/>
      <c r="U34" s="120"/>
      <c r="V34" s="120"/>
      <c r="W34" s="120"/>
      <c r="X34" s="120"/>
      <c r="Y34" s="118"/>
      <c r="Z34" s="119">
        <f>'[2]IV rok'!Y43</f>
        <v>15</v>
      </c>
      <c r="AA34" s="120">
        <f>'[2]IV rok'!Z43</f>
        <v>15</v>
      </c>
      <c r="AB34" s="120"/>
      <c r="AC34" s="120"/>
      <c r="AD34" s="120"/>
      <c r="AE34" s="120">
        <f>'[2]IV rok'!AD43</f>
        <v>25</v>
      </c>
      <c r="AF34" s="120">
        <f>'[2]IV rok'!AE43</f>
        <v>1</v>
      </c>
    </row>
    <row r="35" spans="1:32" ht="24.75" customHeight="1">
      <c r="A35" s="653"/>
      <c r="B35" s="120" t="s">
        <v>193</v>
      </c>
      <c r="C35" s="114" t="str">
        <f>'[2]IV rok'!B44</f>
        <v>Farmakoekonomika</v>
      </c>
      <c r="D35" s="135" t="str">
        <f>'IV rok'!C44</f>
        <v>0912-7LEK-F26-F</v>
      </c>
      <c r="E35" s="116"/>
      <c r="F35" s="117">
        <f>'[2]IV rok'!E44</f>
        <v>7</v>
      </c>
      <c r="G35" s="118"/>
      <c r="H35" s="119">
        <f>'[2]IV rok'!G44</f>
        <v>15</v>
      </c>
      <c r="I35" s="120">
        <f>'[2]IV rok'!H44</f>
        <v>10</v>
      </c>
      <c r="J35" s="120"/>
      <c r="K35" s="120"/>
      <c r="L35" s="120"/>
      <c r="M35" s="120"/>
      <c r="N35" s="120"/>
      <c r="O35" s="120"/>
      <c r="P35" s="118">
        <f>'[2]IV rok'!O44</f>
        <v>1</v>
      </c>
      <c r="Q35" s="119"/>
      <c r="R35" s="120"/>
      <c r="S35" s="120"/>
      <c r="T35" s="120"/>
      <c r="U35" s="120"/>
      <c r="V35" s="120"/>
      <c r="W35" s="120"/>
      <c r="X35" s="120"/>
      <c r="Y35" s="118"/>
      <c r="Z35" s="119">
        <f>'[2]IV rok'!Y44</f>
        <v>15</v>
      </c>
      <c r="AA35" s="120">
        <f>'[2]IV rok'!Z44</f>
        <v>15</v>
      </c>
      <c r="AB35" s="120"/>
      <c r="AC35" s="120"/>
      <c r="AD35" s="120"/>
      <c r="AE35" s="120">
        <f>'[2]IV rok'!AD44</f>
        <v>25</v>
      </c>
      <c r="AF35" s="120">
        <f>'[2]IV rok'!AE44</f>
        <v>1</v>
      </c>
    </row>
    <row r="36" spans="1:32" ht="24.75" customHeight="1">
      <c r="A36" s="653"/>
      <c r="B36" s="120" t="s">
        <v>205</v>
      </c>
      <c r="C36" s="114" t="str">
        <f>'[2]IV rok'!B45</f>
        <v>Zakażenia wirusami przenoszonymi drogą krwi</v>
      </c>
      <c r="D36" s="135" t="str">
        <f>'IV rok'!C45</f>
        <v>0912-7LEK-F27-Z</v>
      </c>
      <c r="E36" s="116"/>
      <c r="F36" s="117">
        <f>'[2]IV rok'!E45</f>
        <v>7</v>
      </c>
      <c r="G36" s="118"/>
      <c r="H36" s="119">
        <f>'[2]IV rok'!G45</f>
        <v>15</v>
      </c>
      <c r="I36" s="120">
        <f>'[2]IV rok'!H45</f>
        <v>10</v>
      </c>
      <c r="J36" s="120"/>
      <c r="K36" s="120"/>
      <c r="L36" s="120"/>
      <c r="M36" s="120"/>
      <c r="N36" s="120"/>
      <c r="O36" s="120"/>
      <c r="P36" s="118">
        <f>'[2]IV rok'!O45</f>
        <v>1</v>
      </c>
      <c r="Q36" s="119"/>
      <c r="R36" s="120"/>
      <c r="S36" s="120"/>
      <c r="T36" s="120"/>
      <c r="U36" s="120"/>
      <c r="V36" s="120"/>
      <c r="W36" s="120"/>
      <c r="X36" s="120"/>
      <c r="Y36" s="118"/>
      <c r="Z36" s="119">
        <f>'[2]IV rok'!Y45</f>
        <v>15</v>
      </c>
      <c r="AA36" s="120">
        <f>'[2]IV rok'!Z45</f>
        <v>15</v>
      </c>
      <c r="AB36" s="120"/>
      <c r="AC36" s="120"/>
      <c r="AD36" s="120"/>
      <c r="AE36" s="120">
        <f>'[2]IV rok'!AD45</f>
        <v>25</v>
      </c>
      <c r="AF36" s="120">
        <f>'[2]IV rok'!AE45</f>
        <v>1</v>
      </c>
    </row>
    <row r="37" spans="1:32" ht="24.75" customHeight="1">
      <c r="A37" s="653"/>
      <c r="B37" s="120" t="s">
        <v>206</v>
      </c>
      <c r="C37" s="114" t="str">
        <f>'[2]IV rok'!B46</f>
        <v>Chirurgia endoskopowa i laparoskopowa</v>
      </c>
      <c r="D37" s="135" t="str">
        <f>'IV rok'!C46</f>
        <v>0912-7LEK-F28-C</v>
      </c>
      <c r="E37" s="116"/>
      <c r="F37" s="117">
        <f>'[2]IV rok'!E46</f>
        <v>8</v>
      </c>
      <c r="G37" s="118"/>
      <c r="H37" s="119"/>
      <c r="I37" s="120"/>
      <c r="J37" s="120"/>
      <c r="K37" s="120"/>
      <c r="L37" s="120"/>
      <c r="M37" s="120"/>
      <c r="N37" s="120"/>
      <c r="O37" s="120"/>
      <c r="P37" s="118"/>
      <c r="Q37" s="119">
        <f>'[2]IV rok'!P46</f>
        <v>15</v>
      </c>
      <c r="R37" s="120">
        <f>'[2]IV rok'!Q46</f>
        <v>10</v>
      </c>
      <c r="S37" s="120"/>
      <c r="T37" s="120"/>
      <c r="U37" s="120"/>
      <c r="V37" s="120"/>
      <c r="W37" s="120"/>
      <c r="X37" s="120"/>
      <c r="Y37" s="118">
        <f>'[2]IV rok'!X46</f>
        <v>1</v>
      </c>
      <c r="Z37" s="119">
        <f>'[2]IV rok'!Y46</f>
        <v>15</v>
      </c>
      <c r="AA37" s="120">
        <f>'[2]IV rok'!Z46</f>
        <v>15</v>
      </c>
      <c r="AB37" s="120"/>
      <c r="AC37" s="120"/>
      <c r="AD37" s="120"/>
      <c r="AE37" s="120">
        <f>'[2]IV rok'!AD46</f>
        <v>25</v>
      </c>
      <c r="AF37" s="120">
        <f>'[2]IV rok'!AE46</f>
        <v>1</v>
      </c>
    </row>
    <row r="38" spans="1:32" ht="24.75" customHeight="1">
      <c r="A38" s="653"/>
      <c r="B38" s="120" t="s">
        <v>207</v>
      </c>
      <c r="C38" s="114" t="str">
        <f>'[2]IV rok'!B47</f>
        <v>Pediatria - kardiologia dziecięca</v>
      </c>
      <c r="D38" s="135" t="str">
        <f>'IV rok'!C47</f>
        <v>0912-7LEK-F29-P</v>
      </c>
      <c r="E38" s="116"/>
      <c r="F38" s="117">
        <f>'[2]IV rok'!E47</f>
        <v>8</v>
      </c>
      <c r="G38" s="118"/>
      <c r="H38" s="119"/>
      <c r="I38" s="120"/>
      <c r="J38" s="120"/>
      <c r="K38" s="120"/>
      <c r="L38" s="120"/>
      <c r="M38" s="120"/>
      <c r="N38" s="120"/>
      <c r="O38" s="120"/>
      <c r="P38" s="118"/>
      <c r="Q38" s="119">
        <f>'[2]IV rok'!P47</f>
        <v>15</v>
      </c>
      <c r="R38" s="120">
        <f>'[2]IV rok'!Q47</f>
        <v>10</v>
      </c>
      <c r="S38" s="120"/>
      <c r="T38" s="120"/>
      <c r="U38" s="120"/>
      <c r="V38" s="120"/>
      <c r="W38" s="120"/>
      <c r="X38" s="120"/>
      <c r="Y38" s="118">
        <f>'[2]IV rok'!X47</f>
        <v>1</v>
      </c>
      <c r="Z38" s="119">
        <f>'[2]IV rok'!Y47</f>
        <v>15</v>
      </c>
      <c r="AA38" s="120">
        <f>'[2]IV rok'!Z47</f>
        <v>15</v>
      </c>
      <c r="AB38" s="120"/>
      <c r="AC38" s="120"/>
      <c r="AD38" s="120"/>
      <c r="AE38" s="120">
        <f>'[2]IV rok'!AD47</f>
        <v>25</v>
      </c>
      <c r="AF38" s="120">
        <f>'[2]IV rok'!AE47</f>
        <v>1</v>
      </c>
    </row>
    <row r="39" spans="1:32" ht="24.75" customHeight="1">
      <c r="A39" s="653"/>
      <c r="B39" s="120" t="s">
        <v>208</v>
      </c>
      <c r="C39" s="114" t="str">
        <f>'[2]IV rok'!B48</f>
        <v>Terapia bólu</v>
      </c>
      <c r="D39" s="135" t="str">
        <f>'IV rok'!C48</f>
        <v>0912-7LEK-F30-T</v>
      </c>
      <c r="E39" s="116"/>
      <c r="F39" s="117">
        <f>'[2]IV rok'!E48</f>
        <v>8</v>
      </c>
      <c r="G39" s="118"/>
      <c r="H39" s="119"/>
      <c r="I39" s="120"/>
      <c r="J39" s="120"/>
      <c r="K39" s="120"/>
      <c r="L39" s="120"/>
      <c r="M39" s="120"/>
      <c r="N39" s="120"/>
      <c r="O39" s="120"/>
      <c r="P39" s="118"/>
      <c r="Q39" s="119">
        <f>'[2]IV rok'!P48</f>
        <v>15</v>
      </c>
      <c r="R39" s="120">
        <f>'[2]IV rok'!Q48</f>
        <v>10</v>
      </c>
      <c r="S39" s="120"/>
      <c r="T39" s="120"/>
      <c r="U39" s="120"/>
      <c r="V39" s="120"/>
      <c r="W39" s="120"/>
      <c r="X39" s="120"/>
      <c r="Y39" s="118">
        <f>'[2]IV rok'!X48</f>
        <v>1</v>
      </c>
      <c r="Z39" s="119">
        <f>'[2]IV rok'!Y48</f>
        <v>15</v>
      </c>
      <c r="AA39" s="120">
        <f>'[2]IV rok'!Z48</f>
        <v>15</v>
      </c>
      <c r="AB39" s="120"/>
      <c r="AC39" s="120"/>
      <c r="AD39" s="120"/>
      <c r="AE39" s="120">
        <f>'[2]IV rok'!AD48</f>
        <v>25</v>
      </c>
      <c r="AF39" s="120">
        <f>'[2]IV rok'!AE48</f>
        <v>1</v>
      </c>
    </row>
    <row r="40" spans="1:32" ht="24.75" customHeight="1">
      <c r="A40" s="653"/>
      <c r="B40" s="120" t="s">
        <v>250</v>
      </c>
      <c r="C40" s="114" t="str">
        <f>'[2]IV rok'!B49</f>
        <v>Choroby płuc</v>
      </c>
      <c r="D40" s="135" t="str">
        <f>'IV rok'!C49</f>
        <v>0912-7LEK-F31-C</v>
      </c>
      <c r="E40" s="116"/>
      <c r="F40" s="117">
        <f>'[2]IV rok'!E49</f>
        <v>8</v>
      </c>
      <c r="G40" s="118"/>
      <c r="H40" s="119"/>
      <c r="I40" s="120"/>
      <c r="J40" s="120"/>
      <c r="K40" s="120"/>
      <c r="L40" s="120"/>
      <c r="M40" s="120"/>
      <c r="N40" s="120"/>
      <c r="O40" s="120"/>
      <c r="P40" s="118"/>
      <c r="Q40" s="119">
        <f>'[2]IV rok'!P49</f>
        <v>15</v>
      </c>
      <c r="R40" s="120">
        <f>'[2]IV rok'!Q49</f>
        <v>10</v>
      </c>
      <c r="S40" s="120"/>
      <c r="T40" s="120"/>
      <c r="U40" s="120"/>
      <c r="V40" s="120"/>
      <c r="W40" s="120"/>
      <c r="X40" s="120"/>
      <c r="Y40" s="118">
        <f>'[2]IV rok'!X49</f>
        <v>1</v>
      </c>
      <c r="Z40" s="119">
        <f>'[2]IV rok'!Y49</f>
        <v>15</v>
      </c>
      <c r="AA40" s="120">
        <f>'[2]IV rok'!Z49</f>
        <v>15</v>
      </c>
      <c r="AB40" s="120"/>
      <c r="AC40" s="120"/>
      <c r="AD40" s="120"/>
      <c r="AE40" s="120">
        <f>'[2]IV rok'!AD49</f>
        <v>25</v>
      </c>
      <c r="AF40" s="120">
        <f>'[2]IV rok'!AE49</f>
        <v>1</v>
      </c>
    </row>
    <row r="41" spans="1:32" ht="24.75" customHeight="1">
      <c r="A41" s="653"/>
      <c r="B41" s="120" t="s">
        <v>209</v>
      </c>
      <c r="C41" s="114" t="str">
        <f>'[2]IV rok'!B50</f>
        <v>Chirurgia naczyniowa</v>
      </c>
      <c r="D41" s="135" t="str">
        <f>'IV rok'!C50</f>
        <v>0912-7LEK-F32-C</v>
      </c>
      <c r="E41" s="116"/>
      <c r="F41" s="117">
        <f>'[2]IV rok'!E50</f>
        <v>8</v>
      </c>
      <c r="G41" s="118"/>
      <c r="H41" s="119"/>
      <c r="I41" s="120"/>
      <c r="J41" s="120"/>
      <c r="K41" s="120"/>
      <c r="L41" s="120"/>
      <c r="M41" s="120"/>
      <c r="N41" s="120"/>
      <c r="O41" s="120"/>
      <c r="P41" s="118"/>
      <c r="Q41" s="119">
        <f>'[2]IV rok'!P50</f>
        <v>15</v>
      </c>
      <c r="R41" s="120">
        <f>'[2]IV rok'!Q50</f>
        <v>10</v>
      </c>
      <c r="S41" s="120"/>
      <c r="T41" s="120"/>
      <c r="U41" s="120"/>
      <c r="V41" s="120"/>
      <c r="W41" s="120"/>
      <c r="X41" s="120"/>
      <c r="Y41" s="118">
        <f>'[2]IV rok'!X50</f>
        <v>1</v>
      </c>
      <c r="Z41" s="119">
        <f>'[2]IV rok'!Y50</f>
        <v>15</v>
      </c>
      <c r="AA41" s="120">
        <f>'[2]IV rok'!Z50</f>
        <v>15</v>
      </c>
      <c r="AB41" s="120"/>
      <c r="AC41" s="120"/>
      <c r="AD41" s="120"/>
      <c r="AE41" s="120">
        <f>'[2]IV rok'!AD50</f>
        <v>25</v>
      </c>
      <c r="AF41" s="120">
        <f>'[2]IV rok'!AE50</f>
        <v>1</v>
      </c>
    </row>
    <row r="42" spans="1:32" ht="24.75" customHeight="1">
      <c r="A42" s="653"/>
      <c r="B42" s="120" t="s">
        <v>210</v>
      </c>
      <c r="C42" s="114" t="str">
        <f>'[2]IV rok'!B51</f>
        <v>Endokrynologia dziecieca</v>
      </c>
      <c r="D42" s="135" t="str">
        <f>'IV rok'!C51</f>
        <v>0912-7LEK-F33-E</v>
      </c>
      <c r="E42" s="116"/>
      <c r="F42" s="117">
        <f>'[2]IV rok'!E51</f>
        <v>8</v>
      </c>
      <c r="G42" s="118"/>
      <c r="H42" s="119" t="s">
        <v>137</v>
      </c>
      <c r="I42" s="120" t="s">
        <v>129</v>
      </c>
      <c r="J42" s="120"/>
      <c r="K42" s="120"/>
      <c r="L42" s="120"/>
      <c r="M42" s="120"/>
      <c r="N42" s="120"/>
      <c r="O42" s="120"/>
      <c r="P42" s="118"/>
      <c r="Q42" s="119"/>
      <c r="R42" s="120"/>
      <c r="S42" s="120"/>
      <c r="T42" s="120"/>
      <c r="U42" s="120"/>
      <c r="V42" s="120"/>
      <c r="W42" s="120"/>
      <c r="X42" s="120"/>
      <c r="Y42" s="118">
        <f>'[2]IV rok'!X51</f>
        <v>1</v>
      </c>
      <c r="Z42" s="119">
        <f>'[2]IV rok'!Y51</f>
        <v>15</v>
      </c>
      <c r="AA42" s="120">
        <f>'[2]IV rok'!Z51</f>
        <v>15</v>
      </c>
      <c r="AB42" s="120"/>
      <c r="AC42" s="120"/>
      <c r="AD42" s="120"/>
      <c r="AE42" s="120">
        <f>'[2]IV rok'!AD51</f>
        <v>25</v>
      </c>
      <c r="AF42" s="120">
        <f>'[2]IV rok'!AE51</f>
        <v>1</v>
      </c>
    </row>
    <row r="43" spans="1:32" ht="24.75" customHeight="1">
      <c r="A43" s="660" t="s">
        <v>160</v>
      </c>
      <c r="B43" s="663" t="e">
        <f>#REF!</f>
        <v>#REF!</v>
      </c>
      <c r="C43" s="664"/>
      <c r="D43" s="664"/>
      <c r="E43" s="664"/>
      <c r="F43" s="664"/>
      <c r="G43" s="664"/>
      <c r="H43" s="664"/>
      <c r="I43" s="664"/>
      <c r="J43" s="664"/>
      <c r="K43" s="664"/>
      <c r="L43" s="664"/>
      <c r="M43" s="664"/>
      <c r="N43" s="664"/>
      <c r="O43" s="664"/>
      <c r="P43" s="664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664"/>
      <c r="AB43" s="664"/>
      <c r="AC43" s="664"/>
      <c r="AD43" s="664"/>
      <c r="AE43" s="664"/>
      <c r="AF43" s="665"/>
    </row>
    <row r="44" spans="1:32" ht="24.75" customHeight="1">
      <c r="A44" s="661"/>
      <c r="B44" s="120" t="s">
        <v>211</v>
      </c>
      <c r="C44" s="114" t="str">
        <f>'[2]V rok'!B52</f>
        <v>Hipertensjologia</v>
      </c>
      <c r="D44" s="135" t="e">
        <f>#REF!</f>
        <v>#REF!</v>
      </c>
      <c r="E44" s="116"/>
      <c r="F44" s="117">
        <f>'[2]V rok'!E52</f>
        <v>9</v>
      </c>
      <c r="G44" s="118"/>
      <c r="H44" s="119" t="s">
        <v>129</v>
      </c>
      <c r="I44" s="120" t="s">
        <v>137</v>
      </c>
      <c r="J44" s="120" t="s">
        <v>137</v>
      </c>
      <c r="K44" s="120" t="s">
        <v>129</v>
      </c>
      <c r="L44" s="120"/>
      <c r="M44" s="120"/>
      <c r="N44" s="120"/>
      <c r="O44" s="120"/>
      <c r="P44" s="118" t="s">
        <v>238</v>
      </c>
      <c r="Q44" s="119"/>
      <c r="R44" s="120"/>
      <c r="S44" s="120"/>
      <c r="T44" s="120"/>
      <c r="U44" s="120"/>
      <c r="V44" s="120"/>
      <c r="W44" s="120"/>
      <c r="X44" s="120"/>
      <c r="Y44" s="118"/>
      <c r="Z44" s="119" t="s">
        <v>193</v>
      </c>
      <c r="AA44" s="120" t="s">
        <v>129</v>
      </c>
      <c r="AB44" s="120" t="s">
        <v>137</v>
      </c>
      <c r="AC44" s="120"/>
      <c r="AD44" s="120"/>
      <c r="AE44" s="120">
        <f>'[2]V rok'!AD52</f>
        <v>50</v>
      </c>
      <c r="AF44" s="120">
        <f>'[2]V rok'!AE52</f>
        <v>2</v>
      </c>
    </row>
    <row r="45" spans="1:32" ht="24.75" customHeight="1">
      <c r="A45" s="661"/>
      <c r="B45" s="120" t="s">
        <v>212</v>
      </c>
      <c r="C45" s="114" t="str">
        <f>'[2]V rok'!B53</f>
        <v>Gastroenterologia dziecięca</v>
      </c>
      <c r="D45" s="135" t="e">
        <f>#REF!</f>
        <v>#REF!</v>
      </c>
      <c r="E45" s="116"/>
      <c r="F45" s="117">
        <f>'[2]V rok'!E53</f>
        <v>9</v>
      </c>
      <c r="G45" s="118"/>
      <c r="H45" s="119" t="s">
        <v>129</v>
      </c>
      <c r="I45" s="120" t="s">
        <v>137</v>
      </c>
      <c r="J45" s="120" t="s">
        <v>137</v>
      </c>
      <c r="K45" s="120">
        <f>'[2]V rok'!J53</f>
        <v>10</v>
      </c>
      <c r="L45" s="120"/>
      <c r="M45" s="120"/>
      <c r="N45" s="120"/>
      <c r="O45" s="120"/>
      <c r="P45" s="118" t="s">
        <v>238</v>
      </c>
      <c r="Q45" s="119"/>
      <c r="R45" s="120"/>
      <c r="S45" s="120"/>
      <c r="T45" s="120"/>
      <c r="U45" s="120"/>
      <c r="V45" s="120"/>
      <c r="W45" s="120"/>
      <c r="X45" s="120"/>
      <c r="Y45" s="118"/>
      <c r="Z45" s="119" t="s">
        <v>193</v>
      </c>
      <c r="AA45" s="120" t="s">
        <v>129</v>
      </c>
      <c r="AB45" s="120" t="s">
        <v>137</v>
      </c>
      <c r="AC45" s="120"/>
      <c r="AD45" s="120"/>
      <c r="AE45" s="120">
        <f>'[2]V rok'!AD53</f>
        <v>50</v>
      </c>
      <c r="AF45" s="120">
        <f>'[2]V rok'!AE53</f>
        <v>2</v>
      </c>
    </row>
    <row r="46" spans="1:32" ht="24.75" customHeight="1">
      <c r="A46" s="661"/>
      <c r="B46" s="120" t="s">
        <v>213</v>
      </c>
      <c r="C46" s="114" t="str">
        <f>'[2]V rok'!B54</f>
        <v>Alergologia</v>
      </c>
      <c r="D46" s="135" t="e">
        <f>#REF!</f>
        <v>#REF!</v>
      </c>
      <c r="E46" s="116"/>
      <c r="F46" s="117">
        <f>'[2]V rok'!E54</f>
        <v>9</v>
      </c>
      <c r="G46" s="118"/>
      <c r="H46" s="119" t="s">
        <v>129</v>
      </c>
      <c r="I46" s="120" t="s">
        <v>137</v>
      </c>
      <c r="J46" s="120" t="s">
        <v>137</v>
      </c>
      <c r="K46" s="120">
        <f>'[2]V rok'!J54</f>
        <v>10</v>
      </c>
      <c r="L46" s="120"/>
      <c r="M46" s="120"/>
      <c r="N46" s="120"/>
      <c r="O46" s="120"/>
      <c r="P46" s="118" t="s">
        <v>238</v>
      </c>
      <c r="Q46" s="119"/>
      <c r="R46" s="120"/>
      <c r="S46" s="120"/>
      <c r="T46" s="120"/>
      <c r="U46" s="120"/>
      <c r="V46" s="120"/>
      <c r="W46" s="120"/>
      <c r="X46" s="120"/>
      <c r="Y46" s="118"/>
      <c r="Z46" s="119" t="s">
        <v>193</v>
      </c>
      <c r="AA46" s="120" t="s">
        <v>129</v>
      </c>
      <c r="AB46" s="120" t="s">
        <v>137</v>
      </c>
      <c r="AC46" s="120"/>
      <c r="AD46" s="120"/>
      <c r="AE46" s="120">
        <f>'[2]V rok'!AD54</f>
        <v>50</v>
      </c>
      <c r="AF46" s="120">
        <f>'[2]V rok'!AE54</f>
        <v>2</v>
      </c>
    </row>
    <row r="47" spans="1:32" ht="24.75" customHeight="1">
      <c r="A47" s="661"/>
      <c r="B47" s="120" t="s">
        <v>214</v>
      </c>
      <c r="C47" s="114" t="str">
        <f>'[2]V rok'!B55</f>
        <v>Kardiologia interwencyjna</v>
      </c>
      <c r="D47" s="135" t="e">
        <f>#REF!</f>
        <v>#REF!</v>
      </c>
      <c r="E47" s="116"/>
      <c r="F47" s="117">
        <f>'[2]V rok'!E55</f>
        <v>9</v>
      </c>
      <c r="G47" s="118"/>
      <c r="H47" s="119" t="s">
        <v>129</v>
      </c>
      <c r="I47" s="120" t="s">
        <v>137</v>
      </c>
      <c r="J47" s="120" t="s">
        <v>137</v>
      </c>
      <c r="K47" s="120">
        <f>'[2]V rok'!J55</f>
        <v>10</v>
      </c>
      <c r="L47" s="120"/>
      <c r="M47" s="120"/>
      <c r="N47" s="120"/>
      <c r="O47" s="120"/>
      <c r="P47" s="118" t="s">
        <v>238</v>
      </c>
      <c r="Q47" s="119"/>
      <c r="R47" s="120"/>
      <c r="S47" s="120"/>
      <c r="T47" s="120"/>
      <c r="U47" s="120"/>
      <c r="V47" s="120"/>
      <c r="W47" s="120"/>
      <c r="X47" s="120"/>
      <c r="Y47" s="118"/>
      <c r="Z47" s="119" t="s">
        <v>193</v>
      </c>
      <c r="AA47" s="120" t="s">
        <v>129</v>
      </c>
      <c r="AB47" s="120" t="s">
        <v>137</v>
      </c>
      <c r="AC47" s="120"/>
      <c r="AD47" s="120"/>
      <c r="AE47" s="120">
        <f>'[2]V rok'!AD55</f>
        <v>50</v>
      </c>
      <c r="AF47" s="120">
        <f>'[2]V rok'!AE55</f>
        <v>2</v>
      </c>
    </row>
    <row r="48" spans="1:32" ht="24.75" customHeight="1">
      <c r="A48" s="661"/>
      <c r="B48" s="120" t="s">
        <v>215</v>
      </c>
      <c r="C48" s="114" t="str">
        <f>'[2]V rok'!B56</f>
        <v>Żywienie kliniczne</v>
      </c>
      <c r="D48" s="135" t="e">
        <f>#REF!</f>
        <v>#REF!</v>
      </c>
      <c r="E48" s="116"/>
      <c r="F48" s="117">
        <f>'[2]V rok'!E56</f>
        <v>9</v>
      </c>
      <c r="G48" s="118"/>
      <c r="H48" s="119" t="s">
        <v>129</v>
      </c>
      <c r="I48" s="120" t="s">
        <v>137</v>
      </c>
      <c r="J48" s="120" t="s">
        <v>137</v>
      </c>
      <c r="K48" s="120">
        <f>'[2]V rok'!J56</f>
        <v>10</v>
      </c>
      <c r="L48" s="120"/>
      <c r="M48" s="120"/>
      <c r="N48" s="120"/>
      <c r="O48" s="120"/>
      <c r="P48" s="118" t="s">
        <v>238</v>
      </c>
      <c r="Q48" s="119"/>
      <c r="R48" s="120"/>
      <c r="S48" s="120"/>
      <c r="T48" s="120"/>
      <c r="U48" s="120"/>
      <c r="V48" s="120"/>
      <c r="W48" s="120"/>
      <c r="X48" s="120"/>
      <c r="Y48" s="118"/>
      <c r="Z48" s="119" t="s">
        <v>193</v>
      </c>
      <c r="AA48" s="120" t="s">
        <v>129</v>
      </c>
      <c r="AB48" s="120" t="s">
        <v>137</v>
      </c>
      <c r="AC48" s="120"/>
      <c r="AD48" s="120"/>
      <c r="AE48" s="120">
        <f>'[2]V rok'!AD56</f>
        <v>50</v>
      </c>
      <c r="AF48" s="120">
        <f>'[2]V rok'!AE56</f>
        <v>2</v>
      </c>
    </row>
    <row r="49" spans="1:32" ht="24.75" customHeight="1">
      <c r="A49" s="661"/>
      <c r="B49" s="120" t="s">
        <v>216</v>
      </c>
      <c r="C49" s="114" t="str">
        <f>'[2]V rok'!B57</f>
        <v>Anastezjologia i intensywna terapia dziecięca</v>
      </c>
      <c r="D49" s="135" t="e">
        <f>#REF!</f>
        <v>#REF!</v>
      </c>
      <c r="E49" s="116"/>
      <c r="F49" s="117">
        <f>'[2]V rok'!E57</f>
        <v>9</v>
      </c>
      <c r="G49" s="118"/>
      <c r="H49" s="119" t="s">
        <v>129</v>
      </c>
      <c r="I49" s="120" t="s">
        <v>137</v>
      </c>
      <c r="J49" s="120" t="s">
        <v>137</v>
      </c>
      <c r="K49" s="120">
        <f>'[2]V rok'!J57</f>
        <v>10</v>
      </c>
      <c r="L49" s="120"/>
      <c r="M49" s="120"/>
      <c r="N49" s="120"/>
      <c r="O49" s="120"/>
      <c r="P49" s="118" t="s">
        <v>238</v>
      </c>
      <c r="Q49" s="119"/>
      <c r="R49" s="120"/>
      <c r="S49" s="120"/>
      <c r="T49" s="120"/>
      <c r="U49" s="120"/>
      <c r="V49" s="120"/>
      <c r="W49" s="120"/>
      <c r="X49" s="120"/>
      <c r="Y49" s="118"/>
      <c r="Z49" s="119" t="s">
        <v>193</v>
      </c>
      <c r="AA49" s="120" t="s">
        <v>129</v>
      </c>
      <c r="AB49" s="120" t="s">
        <v>137</v>
      </c>
      <c r="AC49" s="120"/>
      <c r="AD49" s="120"/>
      <c r="AE49" s="120">
        <f>'[2]V rok'!AD57</f>
        <v>50</v>
      </c>
      <c r="AF49" s="120">
        <f>'[2]V rok'!AE57</f>
        <v>2</v>
      </c>
    </row>
    <row r="50" spans="1:32" ht="24.75" customHeight="1">
      <c r="A50" s="661"/>
      <c r="B50" s="120" t="s">
        <v>217</v>
      </c>
      <c r="C50" s="114" t="s">
        <v>345</v>
      </c>
      <c r="D50" s="135" t="e">
        <f>#REF!</f>
        <v>#REF!</v>
      </c>
      <c r="E50" s="116"/>
      <c r="F50" s="117">
        <f>'[2]V rok'!E58</f>
        <v>9</v>
      </c>
      <c r="G50" s="118"/>
      <c r="H50" s="119" t="s">
        <v>129</v>
      </c>
      <c r="I50" s="120" t="s">
        <v>137</v>
      </c>
      <c r="J50" s="120" t="s">
        <v>137</v>
      </c>
      <c r="K50" s="120">
        <f>'[2]V rok'!J58</f>
        <v>10</v>
      </c>
      <c r="L50" s="120"/>
      <c r="M50" s="120"/>
      <c r="N50" s="120"/>
      <c r="O50" s="120"/>
      <c r="P50" s="118" t="s">
        <v>238</v>
      </c>
      <c r="Q50" s="119"/>
      <c r="R50" s="120"/>
      <c r="S50" s="120"/>
      <c r="T50" s="120"/>
      <c r="U50" s="120"/>
      <c r="V50" s="120"/>
      <c r="W50" s="120"/>
      <c r="X50" s="120"/>
      <c r="Y50" s="118"/>
      <c r="Z50" s="119" t="s">
        <v>193</v>
      </c>
      <c r="AA50" s="120" t="s">
        <v>129</v>
      </c>
      <c r="AB50" s="120" t="s">
        <v>137</v>
      </c>
      <c r="AC50" s="120"/>
      <c r="AD50" s="120"/>
      <c r="AE50" s="120">
        <f>'[2]V rok'!AD58</f>
        <v>50</v>
      </c>
      <c r="AF50" s="120">
        <f>'[2]V rok'!AE58</f>
        <v>2</v>
      </c>
    </row>
    <row r="51" spans="1:32" ht="24.75" customHeight="1">
      <c r="A51" s="661"/>
      <c r="B51" s="120" t="s">
        <v>218</v>
      </c>
      <c r="C51" s="114" t="str">
        <f>'[2]V rok'!B59</f>
        <v>Elektrokardiografia</v>
      </c>
      <c r="D51" s="135" t="e">
        <f>#REF!</f>
        <v>#REF!</v>
      </c>
      <c r="E51" s="116"/>
      <c r="F51" s="117">
        <f>'[2]V rok'!E59</f>
        <v>9</v>
      </c>
      <c r="G51" s="118"/>
      <c r="H51" s="119" t="s">
        <v>129</v>
      </c>
      <c r="I51" s="120" t="s">
        <v>137</v>
      </c>
      <c r="J51" s="120" t="s">
        <v>137</v>
      </c>
      <c r="K51" s="120">
        <f>'[2]V rok'!J59</f>
        <v>10</v>
      </c>
      <c r="L51" s="120"/>
      <c r="M51" s="120"/>
      <c r="N51" s="120"/>
      <c r="O51" s="120"/>
      <c r="P51" s="118" t="s">
        <v>238</v>
      </c>
      <c r="Q51" s="119"/>
      <c r="R51" s="120"/>
      <c r="S51" s="120"/>
      <c r="T51" s="120"/>
      <c r="U51" s="120"/>
      <c r="V51" s="120"/>
      <c r="W51" s="120"/>
      <c r="X51" s="120"/>
      <c r="Y51" s="118"/>
      <c r="Z51" s="119" t="s">
        <v>193</v>
      </c>
      <c r="AA51" s="120" t="s">
        <v>129</v>
      </c>
      <c r="AB51" s="120" t="s">
        <v>137</v>
      </c>
      <c r="AC51" s="120"/>
      <c r="AD51" s="120"/>
      <c r="AE51" s="120">
        <f>'[2]V rok'!AD59</f>
        <v>50</v>
      </c>
      <c r="AF51" s="120">
        <f>'[2]V rok'!AE59</f>
        <v>2</v>
      </c>
    </row>
    <row r="52" spans="1:32" ht="24.75" customHeight="1">
      <c r="A52" s="661"/>
      <c r="B52" s="120" t="s">
        <v>219</v>
      </c>
      <c r="C52" s="114" t="str">
        <f>'[2]V rok'!B60</f>
        <v>Traumatologia dziecięca</v>
      </c>
      <c r="D52" s="135" t="e">
        <f>#REF!</f>
        <v>#REF!</v>
      </c>
      <c r="E52" s="116"/>
      <c r="F52" s="117">
        <f>'[2]V rok'!E60</f>
        <v>9</v>
      </c>
      <c r="G52" s="118"/>
      <c r="H52" s="119" t="s">
        <v>129</v>
      </c>
      <c r="I52" s="120" t="s">
        <v>137</v>
      </c>
      <c r="J52" s="120" t="s">
        <v>137</v>
      </c>
      <c r="K52" s="120">
        <f>'[2]V rok'!J60</f>
        <v>10</v>
      </c>
      <c r="L52" s="120"/>
      <c r="M52" s="120"/>
      <c r="N52" s="120"/>
      <c r="O52" s="120"/>
      <c r="P52" s="118" t="s">
        <v>238</v>
      </c>
      <c r="Q52" s="119"/>
      <c r="R52" s="120"/>
      <c r="S52" s="120"/>
      <c r="T52" s="120"/>
      <c r="U52" s="120"/>
      <c r="V52" s="120"/>
      <c r="W52" s="120"/>
      <c r="X52" s="120"/>
      <c r="Y52" s="118"/>
      <c r="Z52" s="119" t="s">
        <v>193</v>
      </c>
      <c r="AA52" s="120" t="s">
        <v>129</v>
      </c>
      <c r="AB52" s="120" t="s">
        <v>137</v>
      </c>
      <c r="AC52" s="120"/>
      <c r="AD52" s="120"/>
      <c r="AE52" s="120">
        <f>'[2]V rok'!AD60</f>
        <v>50</v>
      </c>
      <c r="AF52" s="120">
        <f>'[2]V rok'!AE60</f>
        <v>2</v>
      </c>
    </row>
    <row r="53" spans="1:32" ht="24.75" customHeight="1">
      <c r="A53" s="661"/>
      <c r="B53" s="120" t="s">
        <v>220</v>
      </c>
      <c r="C53" s="114" t="str">
        <f>'[2]V rok'!B61</f>
        <v>Diagnostyka obrazowa w stanach nagłych</v>
      </c>
      <c r="D53" s="135" t="e">
        <f>#REF!</f>
        <v>#REF!</v>
      </c>
      <c r="E53" s="116"/>
      <c r="F53" s="117">
        <f>'[2]V rok'!E61</f>
        <v>9</v>
      </c>
      <c r="G53" s="118"/>
      <c r="H53" s="119" t="s">
        <v>129</v>
      </c>
      <c r="I53" s="120" t="s">
        <v>137</v>
      </c>
      <c r="J53" s="120" t="s">
        <v>137</v>
      </c>
      <c r="K53" s="120">
        <f>'[2]V rok'!J61</f>
        <v>10</v>
      </c>
      <c r="L53" s="120"/>
      <c r="M53" s="120"/>
      <c r="N53" s="120"/>
      <c r="O53" s="120"/>
      <c r="P53" s="118" t="s">
        <v>238</v>
      </c>
      <c r="Q53" s="119"/>
      <c r="R53" s="120"/>
      <c r="S53" s="120"/>
      <c r="T53" s="120"/>
      <c r="U53" s="120"/>
      <c r="V53" s="120"/>
      <c r="W53" s="120"/>
      <c r="X53" s="120"/>
      <c r="Y53" s="118"/>
      <c r="Z53" s="119" t="s">
        <v>193</v>
      </c>
      <c r="AA53" s="120" t="s">
        <v>129</v>
      </c>
      <c r="AB53" s="120" t="s">
        <v>137</v>
      </c>
      <c r="AC53" s="120"/>
      <c r="AD53" s="120"/>
      <c r="AE53" s="120">
        <f>'[2]V rok'!AD61</f>
        <v>50</v>
      </c>
      <c r="AF53" s="120">
        <f>'[2]V rok'!AE61</f>
        <v>2</v>
      </c>
    </row>
    <row r="54" spans="1:32" ht="24.75" customHeight="1">
      <c r="A54" s="661"/>
      <c r="B54" s="120" t="s">
        <v>221</v>
      </c>
      <c r="C54" s="114" t="str">
        <f>'[2]V rok'!B62</f>
        <v>Radioterapia</v>
      </c>
      <c r="D54" s="135" t="e">
        <f>#REF!</f>
        <v>#REF!</v>
      </c>
      <c r="E54" s="116"/>
      <c r="F54" s="117">
        <f>'[2]V rok'!E62</f>
        <v>9</v>
      </c>
      <c r="G54" s="118"/>
      <c r="H54" s="119" t="s">
        <v>129</v>
      </c>
      <c r="I54" s="120" t="s">
        <v>137</v>
      </c>
      <c r="J54" s="120" t="s">
        <v>137</v>
      </c>
      <c r="K54" s="120">
        <f>'[2]V rok'!J62</f>
        <v>10</v>
      </c>
      <c r="L54" s="120"/>
      <c r="M54" s="120"/>
      <c r="N54" s="120"/>
      <c r="O54" s="120"/>
      <c r="P54" s="118" t="s">
        <v>238</v>
      </c>
      <c r="Q54" s="119"/>
      <c r="R54" s="120"/>
      <c r="S54" s="120"/>
      <c r="T54" s="120"/>
      <c r="U54" s="120"/>
      <c r="V54" s="120"/>
      <c r="W54" s="120"/>
      <c r="X54" s="120"/>
      <c r="Y54" s="118"/>
      <c r="Z54" s="119" t="s">
        <v>193</v>
      </c>
      <c r="AA54" s="120" t="s">
        <v>129</v>
      </c>
      <c r="AB54" s="120" t="s">
        <v>137</v>
      </c>
      <c r="AC54" s="120"/>
      <c r="AD54" s="120"/>
      <c r="AE54" s="120">
        <f>'[2]V rok'!AD62</f>
        <v>50</v>
      </c>
      <c r="AF54" s="120">
        <f>'[2]V rok'!AE62</f>
        <v>2</v>
      </c>
    </row>
    <row r="55" spans="1:32" ht="24.75" customHeight="1">
      <c r="A55" s="661"/>
      <c r="B55" s="120" t="s">
        <v>222</v>
      </c>
      <c r="C55" s="114" t="str">
        <f>'[2]V rok'!B63</f>
        <v>Znaczenie profili genetycznych w leczeniu onkologicznym</v>
      </c>
      <c r="D55" s="135" t="e">
        <f>#REF!</f>
        <v>#REF!</v>
      </c>
      <c r="E55" s="116"/>
      <c r="F55" s="117">
        <f>'[2]V rok'!E63</f>
        <v>9</v>
      </c>
      <c r="G55" s="118"/>
      <c r="H55" s="119" t="s">
        <v>129</v>
      </c>
      <c r="I55" s="120" t="s">
        <v>137</v>
      </c>
      <c r="J55" s="120" t="s">
        <v>137</v>
      </c>
      <c r="K55" s="120">
        <f>'[2]V rok'!J63</f>
        <v>10</v>
      </c>
      <c r="L55" s="120"/>
      <c r="M55" s="120"/>
      <c r="N55" s="120"/>
      <c r="O55" s="120"/>
      <c r="P55" s="118" t="s">
        <v>238</v>
      </c>
      <c r="Q55" s="119"/>
      <c r="R55" s="120"/>
      <c r="S55" s="120"/>
      <c r="T55" s="120"/>
      <c r="U55" s="120"/>
      <c r="V55" s="120"/>
      <c r="W55" s="120"/>
      <c r="X55" s="120"/>
      <c r="Y55" s="118"/>
      <c r="Z55" s="119" t="s">
        <v>193</v>
      </c>
      <c r="AA55" s="120" t="s">
        <v>129</v>
      </c>
      <c r="AB55" s="120" t="s">
        <v>137</v>
      </c>
      <c r="AC55" s="120"/>
      <c r="AD55" s="120"/>
      <c r="AE55" s="120">
        <f>'[2]V rok'!AD63</f>
        <v>50</v>
      </c>
      <c r="AF55" s="120">
        <f>'[2]V rok'!AE63</f>
        <v>2</v>
      </c>
    </row>
    <row r="56" spans="1:32" ht="24.75" customHeight="1" thickBot="1">
      <c r="A56" s="661"/>
      <c r="B56" s="120" t="s">
        <v>223</v>
      </c>
      <c r="C56" s="283" t="str">
        <f>'[2]V rok'!B64</f>
        <v>Chirurgia bariatryczna</v>
      </c>
      <c r="D56" s="285" t="e">
        <f>#REF!</f>
        <v>#REF!</v>
      </c>
      <c r="E56" s="149"/>
      <c r="F56" s="150">
        <f>'[2]V rok'!E64</f>
        <v>9</v>
      </c>
      <c r="G56" s="151"/>
      <c r="H56" s="152" t="s">
        <v>129</v>
      </c>
      <c r="I56" s="153" t="s">
        <v>137</v>
      </c>
      <c r="J56" s="120" t="s">
        <v>137</v>
      </c>
      <c r="K56" s="153" t="s">
        <v>129</v>
      </c>
      <c r="L56" s="153"/>
      <c r="M56" s="153"/>
      <c r="N56" s="153"/>
      <c r="O56" s="153"/>
      <c r="P56" s="118" t="s">
        <v>238</v>
      </c>
      <c r="Q56" s="152"/>
      <c r="R56" s="153"/>
      <c r="S56" s="153"/>
      <c r="T56" s="153"/>
      <c r="U56" s="153"/>
      <c r="V56" s="153"/>
      <c r="W56" s="153"/>
      <c r="X56" s="153"/>
      <c r="Y56" s="151"/>
      <c r="Z56" s="119" t="s">
        <v>193</v>
      </c>
      <c r="AA56" s="120" t="s">
        <v>129</v>
      </c>
      <c r="AB56" s="120" t="s">
        <v>137</v>
      </c>
      <c r="AC56" s="153"/>
      <c r="AD56" s="153"/>
      <c r="AE56" s="153">
        <f>'[2]V rok'!AD64</f>
        <v>50</v>
      </c>
      <c r="AF56" s="153">
        <f>'[2]V rok'!AE64</f>
        <v>2</v>
      </c>
    </row>
    <row r="57" spans="1:32" ht="24.75" customHeight="1">
      <c r="A57" s="661"/>
      <c r="B57" s="120" t="s">
        <v>224</v>
      </c>
      <c r="C57" s="154" t="str">
        <f>'[2]V rok'!B65</f>
        <v>Psychiatria dorosłych</v>
      </c>
      <c r="D57" s="286" t="e">
        <f>#REF!</f>
        <v>#REF!</v>
      </c>
      <c r="E57" s="156"/>
      <c r="F57" s="157">
        <f>'[2]V rok'!E65</f>
        <v>9</v>
      </c>
      <c r="G57" s="158"/>
      <c r="H57" s="159"/>
      <c r="I57" s="160"/>
      <c r="J57" s="160" t="s">
        <v>129</v>
      </c>
      <c r="K57" s="160" t="s">
        <v>137</v>
      </c>
      <c r="L57" s="160"/>
      <c r="M57" s="160"/>
      <c r="N57" s="160"/>
      <c r="O57" s="160"/>
      <c r="P57" s="161">
        <f>'[2]V rok'!O65</f>
        <v>1</v>
      </c>
      <c r="Q57" s="156"/>
      <c r="R57" s="160"/>
      <c r="S57" s="160"/>
      <c r="T57" s="160"/>
      <c r="U57" s="160"/>
      <c r="V57" s="160"/>
      <c r="W57" s="160"/>
      <c r="X57" s="160"/>
      <c r="Y57" s="158"/>
      <c r="Z57" s="159" t="s">
        <v>129</v>
      </c>
      <c r="AA57" s="160" t="s">
        <v>129</v>
      </c>
      <c r="AB57" s="160"/>
      <c r="AC57" s="160"/>
      <c r="AD57" s="160"/>
      <c r="AE57" s="160">
        <f>'[2]V rok'!AD65</f>
        <v>25</v>
      </c>
      <c r="AF57" s="160">
        <f>'[2]V rok'!AE65</f>
        <v>1</v>
      </c>
    </row>
    <row r="58" spans="1:32" ht="24.75" customHeight="1">
      <c r="A58" s="661"/>
      <c r="B58" s="120" t="s">
        <v>225</v>
      </c>
      <c r="C58" s="114" t="s">
        <v>267</v>
      </c>
      <c r="D58" s="135" t="e">
        <f>#REF!</f>
        <v>#REF!</v>
      </c>
      <c r="E58" s="116"/>
      <c r="F58" s="117">
        <f>'[2]V rok'!E66</f>
        <v>9</v>
      </c>
      <c r="G58" s="118"/>
      <c r="H58" s="119"/>
      <c r="I58" s="120"/>
      <c r="J58" s="120"/>
      <c r="K58" s="120"/>
      <c r="L58" s="120"/>
      <c r="M58" s="120"/>
      <c r="N58" s="120"/>
      <c r="O58" s="120"/>
      <c r="P58" s="124">
        <f>'[2]V rok'!O66</f>
        <v>1</v>
      </c>
      <c r="Q58" s="116" t="s">
        <v>137</v>
      </c>
      <c r="R58" s="120" t="s">
        <v>129</v>
      </c>
      <c r="S58" s="120"/>
      <c r="T58" s="120"/>
      <c r="U58" s="120"/>
      <c r="V58" s="120"/>
      <c r="W58" s="120"/>
      <c r="X58" s="120"/>
      <c r="Y58" s="118"/>
      <c r="Z58" s="119">
        <f>'[2]V rok'!Y66</f>
        <v>15</v>
      </c>
      <c r="AA58" s="120">
        <f>'[2]V rok'!Z66</f>
        <v>15</v>
      </c>
      <c r="AB58" s="120"/>
      <c r="AC58" s="120"/>
      <c r="AD58" s="120"/>
      <c r="AE58" s="120">
        <f>'[2]V rok'!AD66</f>
        <v>25</v>
      </c>
      <c r="AF58" s="120">
        <f>'[2]V rok'!AE66</f>
        <v>1</v>
      </c>
    </row>
    <row r="59" spans="1:32" ht="24.75" customHeight="1">
      <c r="A59" s="661"/>
      <c r="B59" s="120" t="s">
        <v>226</v>
      </c>
      <c r="C59" s="114" t="str">
        <f>'[2]V rok'!B67</f>
        <v>Metodyka pisania prac naukowych</v>
      </c>
      <c r="D59" s="135" t="e">
        <f>#REF!</f>
        <v>#REF!</v>
      </c>
      <c r="E59" s="116"/>
      <c r="F59" s="117">
        <f>'[2]V rok'!E67</f>
        <v>9</v>
      </c>
      <c r="G59" s="118"/>
      <c r="H59" s="119"/>
      <c r="I59" s="120"/>
      <c r="J59" s="120" t="s">
        <v>129</v>
      </c>
      <c r="K59" s="120" t="s">
        <v>137</v>
      </c>
      <c r="L59" s="120"/>
      <c r="M59" s="120"/>
      <c r="N59" s="120"/>
      <c r="O59" s="120"/>
      <c r="P59" s="124">
        <f>'[2]V rok'!O67</f>
        <v>1</v>
      </c>
      <c r="Q59" s="116"/>
      <c r="R59" s="120"/>
      <c r="S59" s="120"/>
      <c r="T59" s="120"/>
      <c r="U59" s="120"/>
      <c r="V59" s="120"/>
      <c r="W59" s="120"/>
      <c r="X59" s="120"/>
      <c r="Y59" s="118"/>
      <c r="Z59" s="119" t="s">
        <v>129</v>
      </c>
      <c r="AA59" s="120"/>
      <c r="AB59" s="120" t="s">
        <v>129</v>
      </c>
      <c r="AC59" s="120"/>
      <c r="AD59" s="120"/>
      <c r="AE59" s="120">
        <f>'[2]V rok'!AD67</f>
        <v>25</v>
      </c>
      <c r="AF59" s="120">
        <f>'[2]V rok'!AE67</f>
        <v>1</v>
      </c>
    </row>
    <row r="60" spans="1:32" ht="24.75" customHeight="1">
      <c r="A60" s="661"/>
      <c r="B60" s="120" t="s">
        <v>227</v>
      </c>
      <c r="C60" s="114" t="str">
        <f>'[2]V rok'!B68</f>
        <v>Choroby metaboliczne</v>
      </c>
      <c r="D60" s="135" t="e">
        <f>#REF!</f>
        <v>#REF!</v>
      </c>
      <c r="E60" s="116"/>
      <c r="F60" s="117">
        <f>'[2]V rok'!E68</f>
        <v>10</v>
      </c>
      <c r="G60" s="118"/>
      <c r="H60" s="119"/>
      <c r="I60" s="120"/>
      <c r="J60" s="120" t="s">
        <v>129</v>
      </c>
      <c r="K60" s="120" t="s">
        <v>137</v>
      </c>
      <c r="L60" s="120"/>
      <c r="M60" s="120"/>
      <c r="N60" s="120"/>
      <c r="O60" s="120"/>
      <c r="P60" s="124"/>
      <c r="Q60" s="116"/>
      <c r="R60" s="120"/>
      <c r="S60" s="116"/>
      <c r="T60" s="116"/>
      <c r="U60" s="116"/>
      <c r="V60" s="120"/>
      <c r="W60" s="120"/>
      <c r="X60" s="120"/>
      <c r="Y60" s="118">
        <f>'[2]V rok'!X68</f>
        <v>1</v>
      </c>
      <c r="Z60" s="119" t="s">
        <v>129</v>
      </c>
      <c r="AA60" s="120"/>
      <c r="AB60" s="120" t="s">
        <v>129</v>
      </c>
      <c r="AC60" s="120"/>
      <c r="AD60" s="120"/>
      <c r="AE60" s="120">
        <f>'[2]V rok'!AD68</f>
        <v>25</v>
      </c>
      <c r="AF60" s="120">
        <f>'[2]V rok'!AE68</f>
        <v>1</v>
      </c>
    </row>
    <row r="61" spans="1:32" ht="24.75" customHeight="1">
      <c r="A61" s="661"/>
      <c r="B61" s="120" t="s">
        <v>228</v>
      </c>
      <c r="C61" s="114" t="str">
        <f>'[2]V rok'!B69</f>
        <v>Farmakogenetyka</v>
      </c>
      <c r="D61" s="135" t="e">
        <f>#REF!</f>
        <v>#REF!</v>
      </c>
      <c r="E61" s="116"/>
      <c r="F61" s="117">
        <f>'[2]V rok'!E69</f>
        <v>10</v>
      </c>
      <c r="G61" s="118"/>
      <c r="H61" s="119"/>
      <c r="I61" s="120"/>
      <c r="J61" s="120"/>
      <c r="K61" s="120"/>
      <c r="L61" s="120"/>
      <c r="M61" s="120"/>
      <c r="N61" s="120"/>
      <c r="O61" s="120"/>
      <c r="P61" s="124"/>
      <c r="Q61" s="116">
        <f>'[2]V rok'!P69</f>
        <v>15</v>
      </c>
      <c r="R61" s="120">
        <f>'[2]V rok'!Q69</f>
        <v>10</v>
      </c>
      <c r="S61" s="120"/>
      <c r="T61" s="120"/>
      <c r="U61" s="120"/>
      <c r="V61" s="120"/>
      <c r="W61" s="120"/>
      <c r="X61" s="120"/>
      <c r="Y61" s="118">
        <f>'[2]V rok'!X69</f>
        <v>1</v>
      </c>
      <c r="Z61" s="119">
        <f>'[2]V rok'!Y69</f>
        <v>15</v>
      </c>
      <c r="AA61" s="120">
        <f>'[2]V rok'!Z69</f>
        <v>15</v>
      </c>
      <c r="AB61" s="120"/>
      <c r="AC61" s="120"/>
      <c r="AD61" s="120"/>
      <c r="AE61" s="120">
        <f>'[2]V rok'!AD69</f>
        <v>25</v>
      </c>
      <c r="AF61" s="120">
        <f>'[2]V rok'!AE69</f>
        <v>1</v>
      </c>
    </row>
    <row r="62" spans="1:32" ht="24.75" customHeight="1">
      <c r="A62" s="661"/>
      <c r="B62" s="120" t="s">
        <v>229</v>
      </c>
      <c r="C62" s="114" t="str">
        <f>'[2]V rok'!B70</f>
        <v>Psychiatria dzieci i młodzieży</v>
      </c>
      <c r="D62" s="135" t="e">
        <f>#REF!</f>
        <v>#REF!</v>
      </c>
      <c r="E62" s="116"/>
      <c r="F62" s="117">
        <f>'[2]V rok'!E70</f>
        <v>10</v>
      </c>
      <c r="G62" s="118"/>
      <c r="H62" s="119"/>
      <c r="I62" s="120"/>
      <c r="J62" s="120" t="s">
        <v>129</v>
      </c>
      <c r="K62" s="120" t="s">
        <v>137</v>
      </c>
      <c r="L62" s="120"/>
      <c r="M62" s="120"/>
      <c r="N62" s="120"/>
      <c r="O62" s="120"/>
      <c r="P62" s="124"/>
      <c r="Q62" s="116"/>
      <c r="R62" s="120"/>
      <c r="S62" s="120"/>
      <c r="T62" s="120"/>
      <c r="U62" s="120"/>
      <c r="V62" s="120"/>
      <c r="W62" s="120"/>
      <c r="X62" s="120"/>
      <c r="Y62" s="118">
        <f>'[2]V rok'!X70</f>
        <v>1</v>
      </c>
      <c r="Z62" s="119" t="s">
        <v>129</v>
      </c>
      <c r="AA62" s="120" t="s">
        <v>129</v>
      </c>
      <c r="AB62" s="120"/>
      <c r="AC62" s="120"/>
      <c r="AD62" s="120"/>
      <c r="AE62" s="120">
        <f>'[2]V rok'!AD70</f>
        <v>25</v>
      </c>
      <c r="AF62" s="120">
        <f>'[2]V rok'!AE70</f>
        <v>1</v>
      </c>
    </row>
    <row r="63" spans="1:32" ht="24.75" customHeight="1">
      <c r="A63" s="662"/>
      <c r="B63" s="120" t="s">
        <v>230</v>
      </c>
      <c r="C63" s="114" t="str">
        <f>'[2]V rok'!B71</f>
        <v>Radiologia w pediatrii</v>
      </c>
      <c r="D63" s="135" t="e">
        <f>#REF!</f>
        <v>#REF!</v>
      </c>
      <c r="E63" s="116"/>
      <c r="F63" s="117">
        <f>'[2]V rok'!E71</f>
        <v>10</v>
      </c>
      <c r="G63" s="118"/>
      <c r="H63" s="119"/>
      <c r="I63" s="120"/>
      <c r="J63" s="120" t="s">
        <v>129</v>
      </c>
      <c r="K63" s="120" t="s">
        <v>137</v>
      </c>
      <c r="L63" s="120"/>
      <c r="M63" s="120"/>
      <c r="N63" s="120"/>
      <c r="O63" s="120"/>
      <c r="P63" s="124"/>
      <c r="Q63" s="116"/>
      <c r="R63" s="120"/>
      <c r="S63" s="120"/>
      <c r="T63" s="120"/>
      <c r="U63" s="120"/>
      <c r="V63" s="120"/>
      <c r="W63" s="120"/>
      <c r="X63" s="120"/>
      <c r="Y63" s="118">
        <f>'[2]V rok'!X71</f>
        <v>1</v>
      </c>
      <c r="Z63" s="119" t="s">
        <v>129</v>
      </c>
      <c r="AA63" s="120" t="s">
        <v>137</v>
      </c>
      <c r="AB63" s="120"/>
      <c r="AC63" s="120"/>
      <c r="AD63" s="120"/>
      <c r="AE63" s="120">
        <f>'[2]V rok'!AD71</f>
        <v>25</v>
      </c>
      <c r="AF63" s="120">
        <f>'[2]V rok'!AE71</f>
        <v>1</v>
      </c>
    </row>
    <row r="64" spans="1:32" ht="196.5" customHeight="1">
      <c r="A64" s="284" t="s">
        <v>160</v>
      </c>
      <c r="B64" s="120" t="s">
        <v>231</v>
      </c>
      <c r="C64" s="123" t="s">
        <v>261</v>
      </c>
      <c r="D64" s="135" t="e">
        <f>#REF!</f>
        <v>#REF!</v>
      </c>
      <c r="E64" s="116"/>
      <c r="F64" s="117" t="str">
        <f>'[2]V rok'!E72</f>
        <v>9-12</v>
      </c>
      <c r="G64" s="118"/>
      <c r="H64" s="119">
        <f>'[2]V rok'!G72</f>
        <v>0</v>
      </c>
      <c r="I64" s="120">
        <f>'[2]V rok'!H72</f>
        <v>0</v>
      </c>
      <c r="J64" s="120">
        <f>'[2]V rok'!I72</f>
        <v>45</v>
      </c>
      <c r="K64" s="120">
        <f>'[2]V rok'!J72</f>
        <v>30</v>
      </c>
      <c r="L64" s="120"/>
      <c r="M64" s="120"/>
      <c r="N64" s="120"/>
      <c r="O64" s="120"/>
      <c r="P64" s="118">
        <f>'[2]V rok'!O72</f>
        <v>3</v>
      </c>
      <c r="Q64" s="119"/>
      <c r="R64" s="120"/>
      <c r="S64" s="120">
        <f>'[2]V rok'!R72</f>
        <v>30</v>
      </c>
      <c r="T64" s="120">
        <f>'[2]V rok'!S72</f>
        <v>20</v>
      </c>
      <c r="U64" s="120"/>
      <c r="V64" s="120"/>
      <c r="W64" s="120"/>
      <c r="X64" s="120"/>
      <c r="Y64" s="118">
        <f>'[2]V rok'!X72</f>
        <v>2</v>
      </c>
      <c r="Z64" s="119">
        <f>'[2]V rok'!Y72</f>
        <v>75</v>
      </c>
      <c r="AA64" s="120">
        <f>'[2]V rok'!Z72</f>
        <v>0</v>
      </c>
      <c r="AB64" s="120">
        <f>'[2]V rok'!AA72</f>
        <v>75</v>
      </c>
      <c r="AC64" s="120"/>
      <c r="AD64" s="120"/>
      <c r="AE64" s="120">
        <f>'[2]V rok'!AD72</f>
        <v>125</v>
      </c>
      <c r="AF64" s="120">
        <f>'[2]V rok'!AE72</f>
        <v>5</v>
      </c>
    </row>
    <row r="65" spans="1:32" ht="27" customHeight="1">
      <c r="A65" s="284"/>
      <c r="B65" s="120" t="s">
        <v>316</v>
      </c>
      <c r="C65" s="123" t="s">
        <v>322</v>
      </c>
      <c r="D65" s="135" t="e">
        <f>#REF!</f>
        <v>#REF!</v>
      </c>
      <c r="E65" s="116"/>
      <c r="F65" s="117" t="s">
        <v>129</v>
      </c>
      <c r="G65" s="118"/>
      <c r="H65" s="119"/>
      <c r="I65" s="120"/>
      <c r="J65" s="120"/>
      <c r="K65" s="120"/>
      <c r="L65" s="120"/>
      <c r="M65" s="120"/>
      <c r="N65" s="120"/>
      <c r="O65" s="120"/>
      <c r="P65" s="124"/>
      <c r="Q65" s="119" t="s">
        <v>137</v>
      </c>
      <c r="R65" s="120" t="s">
        <v>129</v>
      </c>
      <c r="S65" s="120"/>
      <c r="T65" s="120"/>
      <c r="U65" s="120"/>
      <c r="V65" s="120"/>
      <c r="W65" s="120"/>
      <c r="X65" s="120"/>
      <c r="Y65" s="118" t="s">
        <v>237</v>
      </c>
      <c r="Z65" s="119" t="s">
        <v>137</v>
      </c>
      <c r="AA65" s="120" t="s">
        <v>137</v>
      </c>
      <c r="AB65" s="120"/>
      <c r="AC65" s="120"/>
      <c r="AD65" s="120"/>
      <c r="AE65" s="120" t="s">
        <v>193</v>
      </c>
      <c r="AF65" s="120" t="s">
        <v>237</v>
      </c>
    </row>
    <row r="66" spans="1:32" ht="204" customHeight="1">
      <c r="A66" s="303" t="s">
        <v>194</v>
      </c>
      <c r="B66" s="120" t="s">
        <v>365</v>
      </c>
      <c r="C66" s="123" t="s">
        <v>260</v>
      </c>
      <c r="D66" s="135" t="str">
        <f>'VI rok'!$C$24</f>
        <v>0912-7LEK-F55-Z</v>
      </c>
      <c r="E66" s="116"/>
      <c r="F66" s="120" t="str">
        <f>'[2]VI rok'!E23</f>
        <v>11-12</v>
      </c>
      <c r="G66" s="118"/>
      <c r="H66" s="119">
        <f>'[2]VI rok'!G23</f>
        <v>0</v>
      </c>
      <c r="I66" s="120">
        <f>'[2]VI rok'!H23</f>
        <v>0</v>
      </c>
      <c r="J66" s="120">
        <f>'[2]VI rok'!I23</f>
        <v>30</v>
      </c>
      <c r="K66" s="120">
        <f>'[2]VI rok'!J23</f>
        <v>20</v>
      </c>
      <c r="L66" s="120"/>
      <c r="M66" s="120"/>
      <c r="N66" s="120"/>
      <c r="O66" s="120"/>
      <c r="P66" s="124">
        <f>'[2]VI rok'!O23</f>
        <v>2</v>
      </c>
      <c r="Q66" s="116"/>
      <c r="R66" s="120"/>
      <c r="S66" s="120">
        <f>'[2]VI rok'!R23</f>
        <v>30</v>
      </c>
      <c r="T66" s="120">
        <f>'[2]VI rok'!S23</f>
        <v>20</v>
      </c>
      <c r="U66" s="120"/>
      <c r="V66" s="120"/>
      <c r="W66" s="120"/>
      <c r="X66" s="120"/>
      <c r="Y66" s="118">
        <f>'[2]VI rok'!X23</f>
        <v>2</v>
      </c>
      <c r="Z66" s="119">
        <f>'[2]VI rok'!Y23</f>
        <v>60</v>
      </c>
      <c r="AA66" s="120">
        <f>'[2]VI rok'!Z23</f>
        <v>0</v>
      </c>
      <c r="AB66" s="120">
        <f>'[2]VI rok'!AA23</f>
        <v>60</v>
      </c>
      <c r="AC66" s="120"/>
      <c r="AD66" s="120"/>
      <c r="AE66" s="120">
        <f>'[2]VI rok'!AD23</f>
        <v>100</v>
      </c>
      <c r="AF66" s="120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84" customWidth="1"/>
    <col min="2" max="2" width="62.28515625" style="84" customWidth="1"/>
    <col min="3" max="3" width="19.42578125" style="133" customWidth="1"/>
    <col min="4" max="4" width="11.140625" style="90" customWidth="1"/>
    <col min="5" max="5" width="7.28515625" style="83" customWidth="1"/>
    <col min="6" max="9" width="5.28515625" style="83" customWidth="1"/>
    <col min="10" max="10" width="9.140625" style="245" customWidth="1"/>
    <col min="11" max="11" width="6.85546875" style="83" customWidth="1"/>
    <col min="12" max="13" width="9.140625" style="84"/>
    <col min="14" max="14" width="46.5703125" style="84" customWidth="1"/>
    <col min="15" max="16384" width="9.140625" style="84"/>
  </cols>
  <sheetData>
    <row r="1" spans="1:31" ht="66.75" customHeight="1">
      <c r="A1" s="608" t="s">
        <v>259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30.75" customHeight="1">
      <c r="A2" s="627" t="s">
        <v>256</v>
      </c>
      <c r="B2" s="627"/>
      <c r="C2" s="138" t="s">
        <v>257</v>
      </c>
      <c r="D2" s="139"/>
      <c r="E2" s="140"/>
      <c r="F2" s="140"/>
      <c r="G2" s="140"/>
      <c r="H2" s="141"/>
      <c r="I2" s="141"/>
      <c r="J2" s="229"/>
      <c r="K2" s="141"/>
      <c r="L2" s="137"/>
      <c r="M2" s="137"/>
      <c r="N2" s="137"/>
      <c r="O2" s="137"/>
      <c r="P2" s="13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3.25" customHeight="1">
      <c r="A3" s="627" t="s">
        <v>258</v>
      </c>
      <c r="B3" s="627"/>
      <c r="C3" s="176"/>
      <c r="D3" s="143"/>
      <c r="E3" s="143"/>
      <c r="F3" s="143"/>
      <c r="G3" s="143"/>
      <c r="H3" s="143"/>
      <c r="I3" s="143"/>
      <c r="J3" s="230"/>
      <c r="K3" s="14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63.75" customHeight="1">
      <c r="A4" s="75" t="s">
        <v>0</v>
      </c>
      <c r="B4" s="74" t="s">
        <v>4</v>
      </c>
      <c r="C4" s="71" t="s">
        <v>1</v>
      </c>
      <c r="D4" s="91" t="s">
        <v>240</v>
      </c>
      <c r="E4" s="172" t="s">
        <v>5</v>
      </c>
      <c r="F4" s="172" t="s">
        <v>89</v>
      </c>
      <c r="G4" s="172" t="s">
        <v>88</v>
      </c>
      <c r="H4" s="172" t="s">
        <v>94</v>
      </c>
      <c r="I4" s="172" t="s">
        <v>90</v>
      </c>
      <c r="J4" s="231" t="s">
        <v>14</v>
      </c>
      <c r="K4" s="172" t="s">
        <v>6</v>
      </c>
    </row>
    <row r="5" spans="1:31" ht="15" customHeight="1">
      <c r="A5" s="146" t="s">
        <v>270</v>
      </c>
      <c r="B5" s="78"/>
      <c r="C5" s="174"/>
      <c r="D5" s="98"/>
      <c r="E5" s="99"/>
      <c r="F5" s="99"/>
      <c r="G5" s="99"/>
      <c r="H5" s="99"/>
      <c r="I5" s="100"/>
      <c r="J5" s="232"/>
      <c r="K5" s="145"/>
      <c r="L5" s="76"/>
      <c r="M5" s="76"/>
      <c r="N5" s="76"/>
      <c r="O5" s="76"/>
    </row>
    <row r="6" spans="1:31" ht="18.75" customHeight="1">
      <c r="A6" s="69">
        <v>1.1000000000000001</v>
      </c>
      <c r="B6" s="93" t="s">
        <v>18</v>
      </c>
      <c r="C6" s="66" t="str">
        <f>"0912-7LEK-B"&amp;A6&amp;"-"&amp;UPPER(LEFT(B6,1))</f>
        <v>0912-7LEK-B1.1-A</v>
      </c>
      <c r="D6" s="94" t="s">
        <v>236</v>
      </c>
      <c r="E6" s="95">
        <v>225</v>
      </c>
      <c r="F6" s="95">
        <v>75</v>
      </c>
      <c r="G6" s="95">
        <v>60</v>
      </c>
      <c r="H6" s="95">
        <v>90</v>
      </c>
      <c r="I6" s="173">
        <v>0</v>
      </c>
      <c r="J6" s="233">
        <v>425</v>
      </c>
      <c r="K6" s="103">
        <v>17</v>
      </c>
      <c r="L6" s="134"/>
      <c r="M6" s="76"/>
      <c r="N6" s="76"/>
      <c r="O6" s="76"/>
    </row>
    <row r="7" spans="1:31" ht="18.75" customHeight="1">
      <c r="A7" s="68">
        <v>1.2</v>
      </c>
      <c r="B7" s="70" t="s">
        <v>20</v>
      </c>
      <c r="C7" s="7" t="str">
        <f>"0912-7LEK-B"&amp;A7&amp;"-"&amp;UPPER(LEFT(B7,1))</f>
        <v>0912-7LEK-B1.2-H</v>
      </c>
      <c r="D7" s="80" t="s">
        <v>236</v>
      </c>
      <c r="E7" s="81">
        <v>105</v>
      </c>
      <c r="F7" s="81">
        <v>35</v>
      </c>
      <c r="G7" s="81">
        <v>35</v>
      </c>
      <c r="H7" s="81">
        <v>35</v>
      </c>
      <c r="I7" s="177">
        <v>0</v>
      </c>
      <c r="J7" s="234">
        <v>250</v>
      </c>
      <c r="K7" s="104">
        <v>10</v>
      </c>
      <c r="L7" s="76"/>
      <c r="M7" s="76"/>
      <c r="N7" s="76"/>
      <c r="O7" s="76"/>
    </row>
    <row r="8" spans="1:31" ht="18.75" customHeight="1">
      <c r="A8" s="612" t="s">
        <v>9</v>
      </c>
      <c r="B8" s="613"/>
      <c r="C8" s="613"/>
      <c r="D8" s="614"/>
      <c r="E8" s="92">
        <f t="shared" ref="E8:K8" si="0">SUM(E6:E7)</f>
        <v>330</v>
      </c>
      <c r="F8" s="92">
        <f t="shared" si="0"/>
        <v>110</v>
      </c>
      <c r="G8" s="92">
        <f t="shared" si="0"/>
        <v>95</v>
      </c>
      <c r="H8" s="92">
        <f t="shared" si="0"/>
        <v>125</v>
      </c>
      <c r="I8" s="92">
        <f t="shared" si="0"/>
        <v>0</v>
      </c>
      <c r="J8" s="235">
        <f t="shared" si="0"/>
        <v>675</v>
      </c>
      <c r="K8" s="92">
        <f t="shared" si="0"/>
        <v>27</v>
      </c>
      <c r="L8" s="76"/>
      <c r="M8" s="76"/>
      <c r="N8" s="76"/>
      <c r="O8" s="76"/>
    </row>
    <row r="9" spans="1:31" ht="18.75" customHeight="1">
      <c r="A9" s="666" t="s">
        <v>271</v>
      </c>
      <c r="B9" s="667"/>
      <c r="C9" s="667"/>
      <c r="D9" s="667"/>
      <c r="E9" s="667"/>
      <c r="F9" s="667"/>
      <c r="G9" s="667"/>
      <c r="H9" s="667"/>
      <c r="I9" s="667"/>
      <c r="J9" s="667"/>
      <c r="K9" s="668"/>
      <c r="L9" s="76"/>
      <c r="M9" s="76"/>
      <c r="N9" s="76"/>
      <c r="O9" s="76"/>
    </row>
    <row r="10" spans="1:31" ht="18.75" customHeight="1">
      <c r="A10" s="674" t="s">
        <v>18</v>
      </c>
      <c r="B10" s="675"/>
      <c r="C10" s="675"/>
      <c r="D10" s="675"/>
      <c r="E10" s="675"/>
      <c r="F10" s="675"/>
      <c r="G10" s="675"/>
      <c r="H10" s="675"/>
      <c r="I10" s="675"/>
      <c r="J10" s="675"/>
      <c r="K10" s="676"/>
      <c r="L10" s="76"/>
      <c r="M10" s="76"/>
      <c r="N10" s="76"/>
      <c r="O10" s="76"/>
    </row>
    <row r="11" spans="1:31" ht="18.75" customHeight="1">
      <c r="A11" s="68"/>
      <c r="B11" s="107" t="s">
        <v>113</v>
      </c>
      <c r="C11" s="7" t="s">
        <v>274</v>
      </c>
      <c r="D11" s="80" t="s">
        <v>277</v>
      </c>
      <c r="E11" s="179"/>
      <c r="F11" s="179"/>
      <c r="G11" s="179"/>
      <c r="H11" s="179"/>
      <c r="I11" s="172"/>
      <c r="J11" s="236"/>
      <c r="K11" s="180">
        <v>1</v>
      </c>
      <c r="L11" s="76"/>
      <c r="M11" s="76"/>
      <c r="N11" s="76"/>
      <c r="O11" s="76"/>
    </row>
    <row r="12" spans="1:31" ht="18.75" customHeight="1">
      <c r="A12" s="68"/>
      <c r="B12" s="107" t="s">
        <v>122</v>
      </c>
      <c r="C12" s="7" t="s">
        <v>275</v>
      </c>
      <c r="D12" s="80" t="s">
        <v>277</v>
      </c>
      <c r="E12" s="179"/>
      <c r="F12" s="179"/>
      <c r="G12" s="179"/>
      <c r="H12" s="179"/>
      <c r="I12" s="178"/>
      <c r="J12" s="236"/>
      <c r="K12" s="180">
        <v>1</v>
      </c>
      <c r="L12" s="76"/>
      <c r="M12" s="76"/>
      <c r="N12" s="76"/>
      <c r="O12" s="76"/>
    </row>
    <row r="13" spans="1:31" ht="18.75" customHeight="1">
      <c r="A13" s="677" t="s">
        <v>20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9"/>
      <c r="L13" s="76"/>
      <c r="M13" s="76"/>
      <c r="N13" s="76"/>
      <c r="O13" s="76"/>
    </row>
    <row r="14" spans="1:31" ht="18.75" customHeight="1">
      <c r="A14" s="68"/>
      <c r="B14" s="107" t="s">
        <v>117</v>
      </c>
      <c r="C14" s="7" t="s">
        <v>272</v>
      </c>
      <c r="D14" s="80" t="s">
        <v>237</v>
      </c>
      <c r="E14" s="179"/>
      <c r="F14" s="179"/>
      <c r="G14" s="179"/>
      <c r="H14" s="179"/>
      <c r="I14" s="178"/>
      <c r="J14" s="236"/>
      <c r="K14" s="180">
        <v>1</v>
      </c>
      <c r="L14" s="76"/>
      <c r="M14" s="76"/>
      <c r="N14" s="76"/>
      <c r="O14" s="76"/>
    </row>
    <row r="15" spans="1:31" ht="18.75" customHeight="1">
      <c r="A15" s="68"/>
      <c r="B15" s="107" t="s">
        <v>179</v>
      </c>
      <c r="C15" s="7" t="s">
        <v>273</v>
      </c>
      <c r="D15" s="80" t="s">
        <v>237</v>
      </c>
      <c r="E15" s="179"/>
      <c r="F15" s="179"/>
      <c r="G15" s="179"/>
      <c r="H15" s="179"/>
      <c r="I15" s="178"/>
      <c r="J15" s="236"/>
      <c r="K15" s="180">
        <v>1</v>
      </c>
      <c r="L15" s="76"/>
      <c r="M15" s="76"/>
      <c r="N15" s="76"/>
      <c r="O15" s="76"/>
    </row>
    <row r="16" spans="1:31" ht="18.75" customHeight="1">
      <c r="A16" s="680" t="s">
        <v>279</v>
      </c>
      <c r="B16" s="681"/>
      <c r="C16" s="681"/>
      <c r="D16" s="681"/>
      <c r="E16" s="681"/>
      <c r="F16" s="681"/>
      <c r="G16" s="681"/>
      <c r="H16" s="681"/>
      <c r="I16" s="681"/>
      <c r="J16" s="681"/>
      <c r="K16" s="682"/>
      <c r="L16" s="76"/>
      <c r="M16" s="76"/>
      <c r="N16" s="76"/>
      <c r="O16" s="76"/>
    </row>
    <row r="17" spans="1:51" ht="18.75" customHeight="1">
      <c r="A17" s="671" t="s">
        <v>278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3"/>
      <c r="L17" s="76"/>
      <c r="M17" s="76"/>
      <c r="N17" s="76"/>
      <c r="O17" s="76"/>
    </row>
    <row r="18" spans="1:51" ht="15.75">
      <c r="A18" s="68"/>
      <c r="B18" s="70"/>
      <c r="C18" s="7"/>
      <c r="D18" s="80"/>
      <c r="E18" s="179"/>
      <c r="F18" s="179"/>
      <c r="G18" s="179"/>
      <c r="H18" s="179"/>
      <c r="I18" s="172"/>
      <c r="J18" s="236"/>
      <c r="K18" s="250">
        <v>2</v>
      </c>
      <c r="L18" s="76">
        <v>2</v>
      </c>
      <c r="M18" s="76"/>
      <c r="N18" s="76"/>
      <c r="O18" s="76"/>
    </row>
    <row r="19" spans="1:51" ht="15.75">
      <c r="A19" s="190"/>
      <c r="B19" s="215" t="s">
        <v>287</v>
      </c>
      <c r="C19" s="192"/>
      <c r="D19" s="193"/>
      <c r="E19" s="194"/>
      <c r="F19" s="194"/>
      <c r="G19" s="194"/>
      <c r="H19" s="194"/>
      <c r="I19" s="195"/>
      <c r="J19" s="237"/>
      <c r="K19" s="251">
        <v>29</v>
      </c>
      <c r="L19" s="76" t="s">
        <v>293</v>
      </c>
      <c r="M19" s="76"/>
      <c r="N19" s="76"/>
      <c r="O19" s="76"/>
    </row>
    <row r="20" spans="1:51">
      <c r="A20" s="605" t="s">
        <v>23</v>
      </c>
      <c r="B20" s="606"/>
      <c r="C20" s="606"/>
      <c r="D20" s="606"/>
      <c r="E20" s="606"/>
      <c r="F20" s="606"/>
      <c r="G20" s="606"/>
      <c r="H20" s="606"/>
      <c r="I20" s="606"/>
      <c r="J20" s="606"/>
      <c r="K20" s="607"/>
    </row>
    <row r="21" spans="1:51" ht="18.75" customHeight="1">
      <c r="A21" s="69">
        <v>2.1</v>
      </c>
      <c r="B21" s="93" t="s">
        <v>35</v>
      </c>
      <c r="C21" s="66" t="str">
        <f>"0912-7LEK-B"&amp;A21&amp;"-"&amp;UPPER(LEFT(B21,1))&amp;"f"</f>
        <v>0912-7LEK-B2.1-Bf</v>
      </c>
      <c r="D21" s="94">
        <v>4</v>
      </c>
      <c r="E21" s="95">
        <v>50</v>
      </c>
      <c r="F21" s="95">
        <v>20</v>
      </c>
      <c r="G21" s="95">
        <v>15</v>
      </c>
      <c r="H21" s="95">
        <v>0</v>
      </c>
      <c r="I21" s="95">
        <v>15</v>
      </c>
      <c r="J21" s="238">
        <v>75</v>
      </c>
      <c r="K21" s="95">
        <v>3</v>
      </c>
    </row>
    <row r="22" spans="1:51" ht="18.75" customHeight="1">
      <c r="A22" s="68">
        <v>2.2000000000000002</v>
      </c>
      <c r="B22" s="70" t="s">
        <v>36</v>
      </c>
      <c r="C22" s="7" t="str">
        <f>"0912-7LEK-B"&amp;A22&amp;"-"&amp;UPPER(LEFT(B22,1))&amp;"BK"</f>
        <v>0912-7LEK-B2.2-PBK</v>
      </c>
      <c r="D22" s="80">
        <v>2</v>
      </c>
      <c r="E22" s="81">
        <v>60</v>
      </c>
      <c r="F22" s="81">
        <v>30</v>
      </c>
      <c r="G22" s="81">
        <v>0</v>
      </c>
      <c r="H22" s="81">
        <v>0</v>
      </c>
      <c r="I22" s="81">
        <v>30</v>
      </c>
      <c r="J22" s="239">
        <v>100</v>
      </c>
      <c r="K22" s="81">
        <v>4</v>
      </c>
    </row>
    <row r="23" spans="1:51" ht="15.75">
      <c r="A23" s="68">
        <v>2.2999999999999998</v>
      </c>
      <c r="B23" s="70" t="s">
        <v>37</v>
      </c>
      <c r="C23" s="7" t="str">
        <f>"0912-7LEK-B"&amp;A23&amp;"-"&amp;UPPER(LEFT(B23,1))</f>
        <v>0912-7LEK-B2.3-C</v>
      </c>
      <c r="D23" s="80">
        <v>1</v>
      </c>
      <c r="E23" s="81">
        <v>35</v>
      </c>
      <c r="F23" s="81">
        <v>15</v>
      </c>
      <c r="G23" s="81">
        <v>0</v>
      </c>
      <c r="H23" s="81">
        <v>0</v>
      </c>
      <c r="I23" s="81">
        <v>20</v>
      </c>
      <c r="J23" s="239">
        <v>75</v>
      </c>
      <c r="K23" s="81">
        <v>3</v>
      </c>
    </row>
    <row r="24" spans="1:51" ht="18.75" customHeight="1">
      <c r="A24" s="68">
        <v>2.4</v>
      </c>
      <c r="B24" s="86" t="s">
        <v>38</v>
      </c>
      <c r="C24" s="7" t="str">
        <f>"0912-7LEK-B"&amp;A24&amp;"-"&amp;UPPER(LEFT(B24,1))&amp;"ch"</f>
        <v>0912-7LEK-B2.4-Bch</v>
      </c>
      <c r="D24" s="80">
        <v>3</v>
      </c>
      <c r="E24" s="81">
        <v>60</v>
      </c>
      <c r="F24" s="81">
        <v>30</v>
      </c>
      <c r="G24" s="81">
        <v>0</v>
      </c>
      <c r="H24" s="81">
        <v>0</v>
      </c>
      <c r="I24" s="81">
        <v>30</v>
      </c>
      <c r="J24" s="239">
        <v>125</v>
      </c>
      <c r="K24" s="81">
        <v>5</v>
      </c>
      <c r="U24" s="510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/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</row>
    <row r="25" spans="1:51" ht="18.75" customHeight="1">
      <c r="A25" s="68">
        <v>2.5</v>
      </c>
      <c r="B25" s="70" t="s">
        <v>39</v>
      </c>
      <c r="C25" s="7" t="str">
        <f>"0912-7LEK-B"&amp;A25&amp;"-"&amp;UPPER(LEFT(B25,1))&amp;"zC"</f>
        <v>0912-7LEK-B2.5-FzC</v>
      </c>
      <c r="D25" s="80" t="s">
        <v>247</v>
      </c>
      <c r="E25" s="81">
        <v>160</v>
      </c>
      <c r="F25" s="81">
        <v>50</v>
      </c>
      <c r="G25" s="81">
        <v>50</v>
      </c>
      <c r="H25" s="81">
        <v>0</v>
      </c>
      <c r="I25" s="81">
        <v>60</v>
      </c>
      <c r="J25" s="239">
        <v>350</v>
      </c>
      <c r="K25" s="81">
        <v>14</v>
      </c>
      <c r="U25" s="524"/>
      <c r="V25" s="524"/>
      <c r="W25" s="49"/>
      <c r="X25" s="10"/>
      <c r="Y25" s="47"/>
      <c r="Z25" s="47"/>
      <c r="AA25" s="47"/>
      <c r="AB25" s="526"/>
      <c r="AC25" s="526"/>
      <c r="AD25" s="526"/>
      <c r="AE25" s="526"/>
      <c r="AF25" s="526"/>
      <c r="AG25" s="526"/>
      <c r="AH25" s="526"/>
      <c r="AI25" s="526"/>
      <c r="AJ25" s="52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51" ht="23.25">
      <c r="A26" s="68">
        <v>2.6</v>
      </c>
      <c r="B26" s="70" t="s">
        <v>40</v>
      </c>
      <c r="C26" s="7" t="str">
        <f>"0912-7LEK-B"&amp;A26&amp;"-"&amp;UPPER(LEFT(B26,1))&amp;""</f>
        <v>0912-7LEK-B2.6-P</v>
      </c>
      <c r="D26" s="80" t="s">
        <v>248</v>
      </c>
      <c r="E26" s="81">
        <v>90</v>
      </c>
      <c r="F26" s="81">
        <v>40</v>
      </c>
      <c r="G26" s="81">
        <v>50</v>
      </c>
      <c r="H26" s="81">
        <v>0</v>
      </c>
      <c r="I26" s="81">
        <v>0</v>
      </c>
      <c r="J26" s="239">
        <v>175</v>
      </c>
      <c r="K26" s="81">
        <v>7</v>
      </c>
      <c r="U26" s="525"/>
      <c r="V26" s="525"/>
      <c r="W26" s="50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1:51" ht="18.75" customHeight="1">
      <c r="A27" s="68">
        <v>2.7</v>
      </c>
      <c r="B27" s="70" t="s">
        <v>93</v>
      </c>
      <c r="C27" s="7" t="str">
        <f>"0912-7LEK-B"&amp;A27&amp;"-"&amp;UPPER(LEFT(B27,1))&amp;"zI"</f>
        <v>0912-7LEK-B2.7-BzI</v>
      </c>
      <c r="D27" s="80" t="s">
        <v>236</v>
      </c>
      <c r="E27" s="81">
        <v>80</v>
      </c>
      <c r="F27" s="81">
        <v>30</v>
      </c>
      <c r="G27" s="81">
        <v>50</v>
      </c>
      <c r="H27" s="81">
        <v>0</v>
      </c>
      <c r="I27" s="81">
        <v>0</v>
      </c>
      <c r="J27" s="239">
        <v>125</v>
      </c>
      <c r="K27" s="81">
        <v>5</v>
      </c>
    </row>
    <row r="28" spans="1:51" ht="18.75" customHeight="1">
      <c r="A28" s="68">
        <v>2.8</v>
      </c>
      <c r="B28" s="70" t="s">
        <v>91</v>
      </c>
      <c r="C28" s="7" t="str">
        <f>"0912-7LEK-B"&amp;A28&amp;"-"&amp;UPPER(LEFT(B28,1))&amp;"P"</f>
        <v>0912-7LEK-B2.8-PP</v>
      </c>
      <c r="D28" s="80">
        <v>2</v>
      </c>
      <c r="E28" s="81">
        <v>35</v>
      </c>
      <c r="F28" s="81">
        <v>0</v>
      </c>
      <c r="G28" s="81">
        <v>15</v>
      </c>
      <c r="H28" s="81">
        <v>20</v>
      </c>
      <c r="I28" s="81">
        <v>0</v>
      </c>
      <c r="J28" s="239">
        <v>50</v>
      </c>
      <c r="K28" s="81">
        <v>2</v>
      </c>
    </row>
    <row r="29" spans="1:51" ht="15" customHeight="1">
      <c r="A29" s="683" t="s">
        <v>9</v>
      </c>
      <c r="B29" s="684"/>
      <c r="C29" s="684"/>
      <c r="D29" s="685"/>
      <c r="E29" s="92">
        <f>SUM(E21:E28)</f>
        <v>570</v>
      </c>
      <c r="F29" s="92">
        <f t="shared" ref="F29:K29" si="1">SUM(F21:F28)</f>
        <v>215</v>
      </c>
      <c r="G29" s="92">
        <f t="shared" si="1"/>
        <v>180</v>
      </c>
      <c r="H29" s="92">
        <f t="shared" si="1"/>
        <v>20</v>
      </c>
      <c r="I29" s="92">
        <f t="shared" si="1"/>
        <v>155</v>
      </c>
      <c r="J29" s="235">
        <f t="shared" si="1"/>
        <v>1075</v>
      </c>
      <c r="K29" s="92">
        <f t="shared" si="1"/>
        <v>43</v>
      </c>
    </row>
    <row r="30" spans="1:51" ht="15" customHeight="1">
      <c r="A30" s="666" t="s">
        <v>271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8"/>
    </row>
    <row r="31" spans="1:51" ht="15" customHeight="1">
      <c r="A31" s="68"/>
      <c r="B31" s="188" t="s">
        <v>35</v>
      </c>
      <c r="C31" s="84"/>
      <c r="D31" s="80"/>
      <c r="E31" s="179"/>
      <c r="F31" s="179"/>
      <c r="G31" s="179"/>
      <c r="H31" s="179"/>
      <c r="I31" s="172"/>
      <c r="J31" s="236"/>
      <c r="K31" s="180"/>
    </row>
    <row r="32" spans="1:51" ht="15" customHeight="1">
      <c r="B32" s="87" t="s">
        <v>135</v>
      </c>
      <c r="C32" s="7"/>
      <c r="D32" s="80" t="s">
        <v>140</v>
      </c>
      <c r="E32" s="179">
        <v>15</v>
      </c>
      <c r="F32" s="179">
        <v>15</v>
      </c>
      <c r="G32" s="179"/>
      <c r="H32" s="179"/>
      <c r="I32" s="181"/>
      <c r="J32" s="236">
        <v>25</v>
      </c>
      <c r="K32" s="180"/>
    </row>
    <row r="33" spans="1:11" ht="15" customHeight="1">
      <c r="B33" s="199" t="s">
        <v>39</v>
      </c>
      <c r="C33" s="7"/>
      <c r="D33" s="80"/>
      <c r="E33" s="179"/>
      <c r="F33" s="179"/>
      <c r="G33" s="179"/>
      <c r="H33" s="179"/>
      <c r="I33" s="181"/>
      <c r="J33" s="236"/>
      <c r="K33" s="180"/>
    </row>
    <row r="34" spans="1:11" ht="15" customHeight="1">
      <c r="B34" s="108" t="s">
        <v>282</v>
      </c>
      <c r="C34" s="7"/>
      <c r="D34" s="80" t="s">
        <v>140</v>
      </c>
      <c r="E34" s="179">
        <v>15</v>
      </c>
      <c r="F34" s="179">
        <v>15</v>
      </c>
      <c r="G34" s="179"/>
      <c r="H34" s="179"/>
      <c r="I34" s="181"/>
      <c r="J34" s="236">
        <v>25</v>
      </c>
      <c r="K34" s="180"/>
    </row>
    <row r="35" spans="1:11" ht="15" customHeight="1">
      <c r="A35" s="190"/>
      <c r="B35" s="87" t="s">
        <v>283</v>
      </c>
      <c r="C35" s="7"/>
      <c r="D35" s="80" t="s">
        <v>140</v>
      </c>
      <c r="E35" s="179">
        <v>15</v>
      </c>
      <c r="F35" s="179">
        <v>15</v>
      </c>
      <c r="G35" s="179"/>
      <c r="H35" s="179"/>
      <c r="I35" s="181"/>
      <c r="J35" s="236">
        <v>25</v>
      </c>
      <c r="K35" s="180"/>
    </row>
    <row r="36" spans="1:11" ht="15" customHeight="1">
      <c r="A36" s="68"/>
      <c r="B36" s="70" t="s">
        <v>36</v>
      </c>
      <c r="C36" s="7"/>
      <c r="D36" s="80"/>
      <c r="E36" s="179"/>
      <c r="F36" s="179"/>
      <c r="G36" s="179"/>
      <c r="H36" s="179"/>
      <c r="I36" s="181"/>
      <c r="J36" s="236"/>
      <c r="K36" s="180"/>
    </row>
    <row r="37" spans="1:11" ht="15" customHeight="1">
      <c r="A37" s="68"/>
      <c r="B37" s="107" t="s">
        <v>115</v>
      </c>
      <c r="C37" s="7" t="s">
        <v>276</v>
      </c>
      <c r="D37" s="80" t="s">
        <v>238</v>
      </c>
      <c r="E37" s="179">
        <v>15</v>
      </c>
      <c r="F37" s="179">
        <v>15</v>
      </c>
      <c r="G37" s="179"/>
      <c r="H37" s="179"/>
      <c r="I37" s="172"/>
      <c r="J37" s="236">
        <v>25</v>
      </c>
      <c r="K37" s="180"/>
    </row>
    <row r="38" spans="1:11" ht="15" customHeight="1">
      <c r="A38" s="190"/>
      <c r="B38" s="252" t="s">
        <v>128</v>
      </c>
      <c r="C38" s="7"/>
      <c r="D38" s="80" t="s">
        <v>239</v>
      </c>
      <c r="E38" s="179">
        <v>15</v>
      </c>
      <c r="F38" s="179">
        <v>15</v>
      </c>
      <c r="G38" s="179"/>
      <c r="H38" s="179"/>
      <c r="I38" s="202"/>
      <c r="J38" s="236">
        <v>25</v>
      </c>
      <c r="K38" s="180"/>
    </row>
    <row r="39" spans="1:11" ht="15" customHeight="1">
      <c r="A39" s="190"/>
      <c r="B39" s="198" t="s">
        <v>40</v>
      </c>
      <c r="C39" s="7"/>
      <c r="D39" s="80"/>
      <c r="E39" s="81"/>
      <c r="F39" s="81"/>
      <c r="G39" s="81"/>
      <c r="H39" s="81"/>
      <c r="I39" s="185"/>
      <c r="J39" s="234"/>
      <c r="K39" s="104"/>
    </row>
    <row r="40" spans="1:11" ht="15" customHeight="1">
      <c r="A40" s="190"/>
      <c r="B40" s="200" t="s">
        <v>181</v>
      </c>
      <c r="C40" s="254">
        <v>5</v>
      </c>
      <c r="D40" s="80"/>
      <c r="E40" s="81">
        <v>15</v>
      </c>
      <c r="F40" s="81">
        <v>15</v>
      </c>
      <c r="G40" s="81"/>
      <c r="H40" s="81"/>
      <c r="I40" s="185"/>
      <c r="J40" s="234">
        <v>25</v>
      </c>
      <c r="K40" s="104"/>
    </row>
    <row r="41" spans="1:11" ht="15" customHeight="1">
      <c r="A41" s="190"/>
      <c r="B41" s="200" t="s">
        <v>285</v>
      </c>
      <c r="C41" s="254">
        <v>6</v>
      </c>
      <c r="D41" s="80"/>
      <c r="E41" s="81">
        <v>15</v>
      </c>
      <c r="F41" s="81">
        <v>15</v>
      </c>
      <c r="G41" s="81"/>
      <c r="H41" s="81"/>
      <c r="I41" s="185"/>
      <c r="J41" s="234">
        <v>25</v>
      </c>
      <c r="K41" s="104"/>
    </row>
    <row r="42" spans="1:11" ht="15" customHeight="1">
      <c r="A42" s="190"/>
      <c r="B42" s="84" t="s">
        <v>189</v>
      </c>
      <c r="C42" s="254">
        <v>5</v>
      </c>
      <c r="D42" s="80"/>
      <c r="E42" s="81">
        <v>15</v>
      </c>
      <c r="F42" s="81">
        <v>15</v>
      </c>
      <c r="G42" s="81"/>
      <c r="H42" s="81"/>
      <c r="I42" s="185"/>
      <c r="J42" s="234">
        <v>25</v>
      </c>
      <c r="K42" s="104"/>
    </row>
    <row r="43" spans="1:11" ht="15" customHeight="1">
      <c r="A43" s="190"/>
      <c r="B43" s="686" t="s">
        <v>37</v>
      </c>
      <c r="C43" s="687"/>
      <c r="D43" s="193"/>
      <c r="E43" s="194"/>
      <c r="F43" s="194"/>
      <c r="G43" s="194"/>
      <c r="H43" s="194"/>
      <c r="I43" s="195"/>
      <c r="J43" s="237"/>
      <c r="K43" s="196"/>
    </row>
    <row r="44" spans="1:11" ht="15" customHeight="1">
      <c r="A44" s="190"/>
      <c r="B44" s="108" t="s">
        <v>114</v>
      </c>
      <c r="C44" s="7"/>
      <c r="D44" s="80" t="s">
        <v>237</v>
      </c>
      <c r="E44" s="81">
        <v>15</v>
      </c>
      <c r="F44" s="81">
        <v>15</v>
      </c>
      <c r="G44" s="81"/>
      <c r="H44" s="81"/>
      <c r="I44" s="205"/>
      <c r="J44" s="234">
        <v>25</v>
      </c>
      <c r="K44" s="104"/>
    </row>
    <row r="45" spans="1:11" ht="15" customHeight="1">
      <c r="A45" s="190"/>
      <c r="B45" s="191"/>
      <c r="C45" s="7"/>
      <c r="D45" s="80"/>
      <c r="E45" s="81"/>
      <c r="F45" s="81"/>
      <c r="G45" s="81"/>
      <c r="H45" s="81"/>
      <c r="I45" s="205"/>
      <c r="J45" s="234"/>
      <c r="K45" s="104"/>
    </row>
    <row r="46" spans="1:11" ht="15" customHeight="1">
      <c r="A46" s="190"/>
      <c r="B46" s="191"/>
      <c r="C46" s="192"/>
      <c r="D46" s="193"/>
      <c r="E46" s="194"/>
      <c r="F46" s="194"/>
      <c r="G46" s="194"/>
      <c r="H46" s="194"/>
      <c r="I46" s="195"/>
      <c r="J46" s="237"/>
      <c r="K46" s="196"/>
    </row>
    <row r="47" spans="1:11">
      <c r="A47" s="605" t="s">
        <v>24</v>
      </c>
      <c r="B47" s="606"/>
      <c r="C47" s="606"/>
      <c r="D47" s="606"/>
      <c r="E47" s="606"/>
      <c r="F47" s="606"/>
      <c r="G47" s="606"/>
      <c r="H47" s="606"/>
      <c r="I47" s="606"/>
      <c r="J47" s="606"/>
      <c r="K47" s="607"/>
    </row>
    <row r="48" spans="1:11" ht="14.25" customHeight="1">
      <c r="A48" s="69">
        <v>3.1</v>
      </c>
      <c r="B48" s="93" t="s">
        <v>41</v>
      </c>
      <c r="C48" s="66" t="str">
        <f t="shared" ref="C48:C53" si="2">"0912-7LEK-C"&amp;A48&amp;"-"&amp;UPPER(LEFT(B48,1))</f>
        <v>0912-7LEK-C3.1-G</v>
      </c>
      <c r="D48" s="94">
        <v>3</v>
      </c>
      <c r="E48" s="95">
        <v>45</v>
      </c>
      <c r="F48" s="95">
        <v>15</v>
      </c>
      <c r="G48" s="95">
        <v>30</v>
      </c>
      <c r="H48" s="95">
        <v>0</v>
      </c>
      <c r="I48" s="95">
        <v>0</v>
      </c>
      <c r="J48" s="238">
        <v>100</v>
      </c>
      <c r="K48" s="95">
        <v>4</v>
      </c>
    </row>
    <row r="49" spans="1:11" ht="15.75">
      <c r="A49" s="68">
        <v>3.2</v>
      </c>
      <c r="B49" s="70" t="s">
        <v>42</v>
      </c>
      <c r="C49" s="7" t="str">
        <f t="shared" si="2"/>
        <v>0912-7LEK-C3.2-M</v>
      </c>
      <c r="D49" s="80" t="s">
        <v>247</v>
      </c>
      <c r="E49" s="81">
        <v>100</v>
      </c>
      <c r="F49" s="81">
        <v>20</v>
      </c>
      <c r="G49" s="81">
        <v>40</v>
      </c>
      <c r="H49" s="81">
        <v>0</v>
      </c>
      <c r="I49" s="81">
        <v>40</v>
      </c>
      <c r="J49" s="239">
        <v>200</v>
      </c>
      <c r="K49" s="81">
        <v>8</v>
      </c>
    </row>
    <row r="50" spans="1:11" ht="15.75">
      <c r="A50" s="68">
        <v>3.3</v>
      </c>
      <c r="B50" s="70" t="s">
        <v>43</v>
      </c>
      <c r="C50" s="7" t="str">
        <f t="shared" si="2"/>
        <v>0912-7LEK-C3.3-P</v>
      </c>
      <c r="D50" s="80">
        <v>4</v>
      </c>
      <c r="E50" s="81">
        <v>45</v>
      </c>
      <c r="F50" s="81">
        <v>15</v>
      </c>
      <c r="G50" s="81">
        <v>15</v>
      </c>
      <c r="H50" s="81">
        <v>0</v>
      </c>
      <c r="I50" s="81">
        <v>15</v>
      </c>
      <c r="J50" s="239">
        <v>75</v>
      </c>
      <c r="K50" s="81">
        <v>3</v>
      </c>
    </row>
    <row r="51" spans="1:11" ht="15.75">
      <c r="A51" s="68">
        <v>3.4</v>
      </c>
      <c r="B51" s="70" t="s">
        <v>44</v>
      </c>
      <c r="C51" s="7" t="str">
        <f t="shared" si="2"/>
        <v>0912-7LEK-C3.4-I</v>
      </c>
      <c r="D51" s="80" t="s">
        <v>239</v>
      </c>
      <c r="E51" s="81">
        <v>45</v>
      </c>
      <c r="F51" s="81">
        <v>15</v>
      </c>
      <c r="G51" s="81">
        <v>10</v>
      </c>
      <c r="H51" s="81">
        <v>0</v>
      </c>
      <c r="I51" s="81">
        <v>20</v>
      </c>
      <c r="J51" s="239">
        <v>75</v>
      </c>
      <c r="K51" s="81">
        <v>3</v>
      </c>
    </row>
    <row r="52" spans="1:11" ht="15.75">
      <c r="A52" s="68">
        <v>3.5</v>
      </c>
      <c r="B52" s="70" t="s">
        <v>45</v>
      </c>
      <c r="C52" s="7" t="str">
        <f t="shared" si="2"/>
        <v>0912-7LEK-C3.5-P</v>
      </c>
      <c r="D52" s="80" t="s">
        <v>248</v>
      </c>
      <c r="E52" s="81">
        <v>135</v>
      </c>
      <c r="F52" s="81">
        <v>45</v>
      </c>
      <c r="G52" s="81">
        <v>90</v>
      </c>
      <c r="H52" s="81">
        <v>0</v>
      </c>
      <c r="I52" s="81">
        <v>0</v>
      </c>
      <c r="J52" s="239">
        <v>275</v>
      </c>
      <c r="K52" s="81">
        <v>11</v>
      </c>
    </row>
    <row r="53" spans="1:11" ht="15.75">
      <c r="A53" s="68">
        <v>3.6</v>
      </c>
      <c r="B53" s="70" t="s">
        <v>46</v>
      </c>
      <c r="C53" s="7" t="str">
        <f t="shared" si="2"/>
        <v>0912-7LEK-C3.6-F</v>
      </c>
      <c r="D53" s="80" t="s">
        <v>248</v>
      </c>
      <c r="E53" s="81">
        <v>130</v>
      </c>
      <c r="F53" s="81">
        <v>50</v>
      </c>
      <c r="G53" s="81">
        <v>80</v>
      </c>
      <c r="H53" s="81">
        <v>0</v>
      </c>
      <c r="I53" s="81">
        <v>0</v>
      </c>
      <c r="J53" s="239">
        <v>250</v>
      </c>
      <c r="K53" s="81">
        <v>10</v>
      </c>
    </row>
    <row r="54" spans="1:11">
      <c r="A54" s="612" t="s">
        <v>9</v>
      </c>
      <c r="B54" s="613"/>
      <c r="C54" s="613"/>
      <c r="D54" s="614"/>
      <c r="E54" s="92">
        <f>SUM(E48:E53)</f>
        <v>500</v>
      </c>
      <c r="F54" s="92">
        <f t="shared" ref="F54:K54" si="3">SUM(F48:F53)</f>
        <v>160</v>
      </c>
      <c r="G54" s="92">
        <f t="shared" si="3"/>
        <v>265</v>
      </c>
      <c r="H54" s="92">
        <f t="shared" si="3"/>
        <v>0</v>
      </c>
      <c r="I54" s="92">
        <f t="shared" si="3"/>
        <v>75</v>
      </c>
      <c r="J54" s="235">
        <f t="shared" si="3"/>
        <v>975</v>
      </c>
      <c r="K54" s="92">
        <f t="shared" si="3"/>
        <v>39</v>
      </c>
    </row>
    <row r="55" spans="1:11" ht="15" customHeight="1">
      <c r="A55" s="666" t="s">
        <v>271</v>
      </c>
      <c r="B55" s="667"/>
      <c r="C55" s="667"/>
      <c r="D55" s="667"/>
      <c r="E55" s="667"/>
      <c r="F55" s="667"/>
      <c r="G55" s="667"/>
      <c r="H55" s="667"/>
      <c r="I55" s="667"/>
      <c r="J55" s="667"/>
      <c r="K55" s="668"/>
    </row>
    <row r="56" spans="1:11" ht="15" customHeight="1">
      <c r="A56" s="183"/>
      <c r="B56" s="184"/>
      <c r="C56" s="184"/>
      <c r="D56" s="184"/>
      <c r="E56" s="186"/>
      <c r="F56" s="186"/>
      <c r="G56" s="186"/>
      <c r="H56" s="186"/>
      <c r="I56" s="186"/>
      <c r="J56" s="240"/>
      <c r="K56" s="187"/>
    </row>
    <row r="57" spans="1:11" ht="15.75">
      <c r="A57" s="68"/>
      <c r="B57" s="70" t="s">
        <v>41</v>
      </c>
      <c r="C57" s="262"/>
      <c r="D57" s="91"/>
      <c r="E57" s="179"/>
      <c r="F57" s="179"/>
      <c r="G57" s="179"/>
      <c r="H57" s="179"/>
      <c r="I57" s="172"/>
      <c r="J57" s="236"/>
      <c r="K57" s="180"/>
    </row>
    <row r="58" spans="1:11" ht="15.75">
      <c r="A58" s="68"/>
      <c r="B58" s="261" t="s">
        <v>124</v>
      </c>
      <c r="C58" s="260"/>
      <c r="D58" s="264">
        <v>3</v>
      </c>
      <c r="E58" s="260">
        <v>15</v>
      </c>
      <c r="F58" s="81">
        <v>15</v>
      </c>
      <c r="G58" s="81"/>
      <c r="H58" s="81"/>
      <c r="I58" s="181"/>
      <c r="J58" s="236">
        <v>25</v>
      </c>
      <c r="K58" s="180"/>
    </row>
    <row r="59" spans="1:11" ht="15.75">
      <c r="A59" s="68"/>
      <c r="B59" s="261" t="s">
        <v>281</v>
      </c>
      <c r="C59" s="260"/>
      <c r="D59" s="264">
        <v>4</v>
      </c>
      <c r="E59" s="260">
        <v>15</v>
      </c>
      <c r="F59" s="81">
        <v>15</v>
      </c>
      <c r="G59" s="81"/>
      <c r="H59" s="81"/>
      <c r="I59" s="181"/>
      <c r="J59" s="236">
        <v>25</v>
      </c>
      <c r="K59" s="180"/>
    </row>
    <row r="60" spans="1:11" ht="15.75">
      <c r="A60" s="68"/>
      <c r="B60" s="70" t="s">
        <v>42</v>
      </c>
      <c r="C60" s="7"/>
      <c r="D60" s="80"/>
      <c r="E60" s="179"/>
      <c r="F60" s="179"/>
      <c r="G60" s="179"/>
      <c r="H60" s="179"/>
      <c r="I60" s="181"/>
      <c r="J60" s="236"/>
      <c r="K60" s="180"/>
    </row>
    <row r="61" spans="1:11" ht="15.75">
      <c r="A61" s="68"/>
      <c r="B61" s="197" t="s">
        <v>127</v>
      </c>
      <c r="C61" s="249"/>
      <c r="D61" s="80" t="s">
        <v>239</v>
      </c>
      <c r="E61" s="179">
        <v>15</v>
      </c>
      <c r="F61" s="179">
        <v>15</v>
      </c>
      <c r="G61" s="179"/>
      <c r="H61" s="179"/>
      <c r="I61" s="181"/>
      <c r="J61" s="236">
        <v>25</v>
      </c>
      <c r="K61" s="180"/>
    </row>
    <row r="62" spans="1:11" ht="15.75">
      <c r="A62" s="68"/>
      <c r="B62" s="246" t="s">
        <v>157</v>
      </c>
      <c r="C62" s="7"/>
      <c r="D62" s="80"/>
      <c r="E62" s="179"/>
      <c r="F62" s="179"/>
      <c r="G62" s="179"/>
      <c r="H62" s="179"/>
      <c r="I62" s="181"/>
      <c r="J62" s="236"/>
      <c r="K62" s="180"/>
    </row>
    <row r="63" spans="1:11">
      <c r="A63" s="68"/>
      <c r="B63" s="114" t="s">
        <v>280</v>
      </c>
      <c r="C63" s="253"/>
      <c r="D63" s="80" t="s">
        <v>239</v>
      </c>
      <c r="E63" s="179">
        <v>15</v>
      </c>
      <c r="F63" s="179">
        <v>15</v>
      </c>
      <c r="G63" s="179"/>
      <c r="H63" s="179"/>
      <c r="I63" s="202"/>
      <c r="J63" s="236">
        <v>25</v>
      </c>
      <c r="K63" s="180"/>
    </row>
    <row r="64" spans="1:11" ht="15.75">
      <c r="A64" s="68"/>
      <c r="B64" s="70" t="s">
        <v>43</v>
      </c>
      <c r="C64" s="7"/>
      <c r="D64" s="80"/>
      <c r="E64" s="179"/>
      <c r="F64" s="179"/>
      <c r="G64" s="179"/>
      <c r="H64" s="179"/>
      <c r="I64" s="181"/>
      <c r="J64" s="236"/>
      <c r="K64" s="180"/>
    </row>
    <row r="65" spans="1:11" ht="15.75">
      <c r="A65" s="68"/>
      <c r="B65" s="70"/>
      <c r="C65" s="7"/>
      <c r="D65" s="80"/>
      <c r="E65" s="179"/>
      <c r="F65" s="179"/>
      <c r="G65" s="179"/>
      <c r="H65" s="179"/>
      <c r="I65" s="181"/>
      <c r="J65" s="236"/>
      <c r="K65" s="180"/>
    </row>
    <row r="66" spans="1:11" ht="15.75">
      <c r="A66" s="68"/>
      <c r="B66" s="70" t="s">
        <v>44</v>
      </c>
      <c r="C66" s="7"/>
      <c r="D66" s="80"/>
      <c r="E66" s="179"/>
      <c r="F66" s="179"/>
      <c r="G66" s="179"/>
      <c r="H66" s="179"/>
      <c r="I66" s="181"/>
      <c r="J66" s="236"/>
      <c r="K66" s="180"/>
    </row>
    <row r="67" spans="1:11" ht="15.75">
      <c r="A67" s="68"/>
      <c r="B67" s="197" t="s">
        <v>136</v>
      </c>
      <c r="C67" s="7"/>
      <c r="D67" s="80" t="s">
        <v>140</v>
      </c>
      <c r="E67" s="179">
        <v>15</v>
      </c>
      <c r="F67" s="179">
        <v>15</v>
      </c>
      <c r="G67" s="179"/>
      <c r="H67" s="179"/>
      <c r="I67" s="181"/>
      <c r="J67" s="236">
        <v>25</v>
      </c>
      <c r="K67" s="180"/>
    </row>
    <row r="68" spans="1:11" ht="15.75">
      <c r="A68" s="68"/>
      <c r="B68" s="70" t="s">
        <v>45</v>
      </c>
      <c r="C68" s="7"/>
      <c r="D68" s="80"/>
      <c r="E68" s="179"/>
      <c r="F68" s="179"/>
      <c r="G68" s="179"/>
      <c r="H68" s="179"/>
      <c r="I68" s="181"/>
      <c r="J68" s="236"/>
      <c r="K68" s="180"/>
    </row>
    <row r="69" spans="1:11" ht="15.75">
      <c r="A69" s="68"/>
      <c r="B69" s="197" t="s">
        <v>198</v>
      </c>
      <c r="C69" s="254"/>
      <c r="D69" s="80" t="s">
        <v>142</v>
      </c>
      <c r="E69" s="179">
        <v>15</v>
      </c>
      <c r="F69" s="179">
        <v>15</v>
      </c>
      <c r="G69" s="179"/>
      <c r="H69" s="179"/>
      <c r="I69" s="181"/>
      <c r="J69" s="236">
        <v>25</v>
      </c>
      <c r="K69" s="180"/>
    </row>
    <row r="70" spans="1:11" ht="15.75">
      <c r="A70" s="68"/>
      <c r="B70" s="197" t="s">
        <v>284</v>
      </c>
      <c r="C70" s="7"/>
      <c r="D70" s="80" t="s">
        <v>143</v>
      </c>
      <c r="E70" s="179">
        <v>15</v>
      </c>
      <c r="F70" s="179">
        <v>15</v>
      </c>
      <c r="G70" s="179"/>
      <c r="H70" s="179"/>
      <c r="I70" s="181"/>
      <c r="J70" s="236">
        <v>25</v>
      </c>
      <c r="K70" s="180"/>
    </row>
    <row r="71" spans="1:11" ht="15.75">
      <c r="A71" s="68"/>
      <c r="B71" s="246" t="s">
        <v>197</v>
      </c>
      <c r="C71" s="7"/>
      <c r="D71" s="80" t="s">
        <v>143</v>
      </c>
      <c r="E71" s="179">
        <v>15</v>
      </c>
      <c r="F71" s="179">
        <v>15</v>
      </c>
      <c r="G71" s="179"/>
      <c r="H71" s="179"/>
      <c r="I71" s="181"/>
      <c r="J71" s="236">
        <v>25</v>
      </c>
      <c r="K71" s="180"/>
    </row>
    <row r="72" spans="1:11" ht="15.75">
      <c r="A72" s="68"/>
      <c r="B72" s="197"/>
      <c r="C72" s="7"/>
      <c r="D72" s="80"/>
      <c r="E72" s="179"/>
      <c r="F72" s="179"/>
      <c r="G72" s="179"/>
      <c r="H72" s="179"/>
      <c r="I72" s="181"/>
      <c r="J72" s="236"/>
      <c r="K72" s="180"/>
    </row>
    <row r="73" spans="1:11" ht="15.75">
      <c r="A73" s="68"/>
      <c r="B73" s="70" t="s">
        <v>46</v>
      </c>
      <c r="C73" s="7"/>
      <c r="D73" s="80"/>
      <c r="E73" s="179"/>
      <c r="F73" s="179"/>
      <c r="G73" s="179"/>
      <c r="H73" s="179"/>
      <c r="I73" s="181"/>
      <c r="J73" s="236"/>
      <c r="K73" s="180"/>
    </row>
    <row r="74" spans="1:11">
      <c r="A74" s="68"/>
      <c r="B74" s="87"/>
      <c r="C74" s="7"/>
      <c r="D74" s="80"/>
      <c r="E74" s="179"/>
      <c r="F74" s="179"/>
      <c r="G74" s="179"/>
      <c r="H74" s="179"/>
      <c r="I74" s="181"/>
      <c r="J74" s="236"/>
      <c r="K74" s="180"/>
    </row>
    <row r="75" spans="1:11">
      <c r="A75" s="68"/>
      <c r="B75" s="87"/>
      <c r="C75" s="7"/>
      <c r="D75" s="80"/>
      <c r="E75" s="179"/>
      <c r="F75" s="179"/>
      <c r="G75" s="179"/>
      <c r="H75" s="179"/>
      <c r="I75" s="172"/>
      <c r="J75" s="236"/>
      <c r="K75" s="180"/>
    </row>
    <row r="76" spans="1:11">
      <c r="A76" s="605" t="s">
        <v>34</v>
      </c>
      <c r="B76" s="606"/>
      <c r="C76" s="606"/>
      <c r="D76" s="606"/>
      <c r="E76" s="606"/>
      <c r="F76" s="606"/>
      <c r="G76" s="606"/>
      <c r="H76" s="606"/>
      <c r="I76" s="606"/>
      <c r="J76" s="606"/>
      <c r="K76" s="607"/>
    </row>
    <row r="77" spans="1:11" ht="15.75">
      <c r="A77" s="175">
        <v>4.0999999999999996</v>
      </c>
      <c r="B77" s="93" t="s">
        <v>47</v>
      </c>
      <c r="C77" s="66" t="str">
        <f>"0912-7LEK-B"&amp;A77&amp;"-"&amp;UPPER(LEFT(B77,1))</f>
        <v>0912-7LEK-B4.1-S</v>
      </c>
      <c r="D77" s="94">
        <v>2</v>
      </c>
      <c r="E77" s="95">
        <v>15</v>
      </c>
      <c r="F77" s="95">
        <v>15</v>
      </c>
      <c r="G77" s="95">
        <v>0</v>
      </c>
      <c r="H77" s="95">
        <v>0</v>
      </c>
      <c r="I77" s="95">
        <v>0</v>
      </c>
      <c r="J77" s="238">
        <v>25</v>
      </c>
      <c r="K77" s="95">
        <v>1</v>
      </c>
    </row>
    <row r="78" spans="1:11" ht="15.75">
      <c r="A78" s="182"/>
      <c r="B78" s="93"/>
      <c r="C78" s="66"/>
      <c r="D78" s="94"/>
      <c r="E78" s="95"/>
      <c r="F78" s="95"/>
      <c r="G78" s="95"/>
      <c r="H78" s="95"/>
      <c r="I78" s="95"/>
      <c r="J78" s="238"/>
      <c r="K78" s="95"/>
    </row>
    <row r="79" spans="1:11" ht="15.75">
      <c r="A79" s="68">
        <v>4.2</v>
      </c>
      <c r="B79" s="70" t="s">
        <v>48</v>
      </c>
      <c r="C79" s="7" t="str">
        <f>"0912-7LEK-B"&amp;A79&amp;"-"&amp;UPPER(LEFT(B79,1))</f>
        <v>0912-7LEK-B4.2-P</v>
      </c>
      <c r="D79" s="80">
        <v>2</v>
      </c>
      <c r="E79" s="81">
        <v>15</v>
      </c>
      <c r="F79" s="81">
        <v>15</v>
      </c>
      <c r="G79" s="81">
        <v>0</v>
      </c>
      <c r="H79" s="81">
        <v>0</v>
      </c>
      <c r="I79" s="81">
        <v>0</v>
      </c>
      <c r="J79" s="239">
        <v>25</v>
      </c>
      <c r="K79" s="81">
        <v>1</v>
      </c>
    </row>
    <row r="80" spans="1:11" ht="15.75">
      <c r="A80" s="3">
        <v>4.3</v>
      </c>
      <c r="B80" s="70" t="s">
        <v>49</v>
      </c>
      <c r="C80" s="7" t="str">
        <f>"0912-7LEK-B"&amp;A80&amp;"-"&amp;UPPER(LEFT(B80,1))</f>
        <v>0912-7LEK-B4.3-E</v>
      </c>
      <c r="D80" s="80">
        <v>1</v>
      </c>
      <c r="E80" s="81">
        <v>15</v>
      </c>
      <c r="F80" s="81">
        <v>15</v>
      </c>
      <c r="G80" s="81">
        <v>0</v>
      </c>
      <c r="H80" s="81">
        <v>0</v>
      </c>
      <c r="I80" s="81">
        <v>0</v>
      </c>
      <c r="J80" s="239">
        <v>25</v>
      </c>
      <c r="K80" s="81">
        <v>1</v>
      </c>
    </row>
    <row r="81" spans="1:11" ht="15.75">
      <c r="A81" s="68">
        <v>4.4000000000000004</v>
      </c>
      <c r="B81" s="70" t="s">
        <v>92</v>
      </c>
      <c r="C81" s="7" t="str">
        <f>"0912-7LEK-B"&amp;A81&amp;"-"&amp;UPPER(LEFT(B81,1))</f>
        <v>0912-7LEK-B4.4-E</v>
      </c>
      <c r="D81" s="80">
        <v>1</v>
      </c>
      <c r="E81" s="81">
        <v>15</v>
      </c>
      <c r="F81" s="81">
        <v>15</v>
      </c>
      <c r="G81" s="81">
        <v>0</v>
      </c>
      <c r="H81" s="81">
        <v>0</v>
      </c>
      <c r="I81" s="81">
        <v>0</v>
      </c>
      <c r="J81" s="239">
        <v>25</v>
      </c>
      <c r="K81" s="81">
        <v>1</v>
      </c>
    </row>
    <row r="82" spans="1:11" ht="15.75">
      <c r="A82" s="175">
        <v>4.5</v>
      </c>
      <c r="B82" s="70" t="s">
        <v>50</v>
      </c>
      <c r="C82" s="7" t="str">
        <f>"0912-7LEK-B"&amp;A82&amp;"-"&amp;UPPER(LEFT(B82,1))</f>
        <v>0912-7LEK-B4.5-H</v>
      </c>
      <c r="D82" s="80" t="s">
        <v>237</v>
      </c>
      <c r="E82" s="81">
        <v>30</v>
      </c>
      <c r="F82" s="81">
        <v>30</v>
      </c>
      <c r="G82" s="81">
        <v>0</v>
      </c>
      <c r="H82" s="81">
        <v>0</v>
      </c>
      <c r="I82" s="81">
        <v>0</v>
      </c>
      <c r="J82" s="239">
        <v>0</v>
      </c>
      <c r="K82" s="81">
        <v>1</v>
      </c>
    </row>
    <row r="83" spans="1:11">
      <c r="A83" s="612" t="s">
        <v>9</v>
      </c>
      <c r="B83" s="613"/>
      <c r="C83" s="613"/>
      <c r="D83" s="614"/>
      <c r="E83" s="92">
        <f t="shared" ref="E83:K83" si="4">SUM(E77:E82)</f>
        <v>90</v>
      </c>
      <c r="F83" s="92">
        <f t="shared" si="4"/>
        <v>90</v>
      </c>
      <c r="G83" s="92">
        <f t="shared" si="4"/>
        <v>0</v>
      </c>
      <c r="H83" s="92">
        <f t="shared" si="4"/>
        <v>0</v>
      </c>
      <c r="I83" s="92">
        <f t="shared" si="4"/>
        <v>0</v>
      </c>
      <c r="J83" s="235">
        <f t="shared" si="4"/>
        <v>100</v>
      </c>
      <c r="K83" s="92">
        <f t="shared" si="4"/>
        <v>5</v>
      </c>
    </row>
    <row r="84" spans="1:11" ht="15.75">
      <c r="A84" s="257"/>
      <c r="B84" s="215"/>
      <c r="C84" s="192"/>
      <c r="D84" s="193"/>
      <c r="E84" s="203"/>
      <c r="F84" s="203"/>
      <c r="G84" s="203"/>
      <c r="H84" s="203"/>
      <c r="I84" s="203"/>
      <c r="J84" s="243"/>
      <c r="K84" s="204"/>
    </row>
    <row r="85" spans="1:11">
      <c r="A85" s="666" t="s">
        <v>271</v>
      </c>
      <c r="B85" s="667"/>
      <c r="C85" s="667"/>
      <c r="D85" s="667"/>
      <c r="E85" s="667"/>
      <c r="F85" s="667"/>
      <c r="G85" s="667"/>
      <c r="H85" s="667"/>
      <c r="I85" s="667"/>
      <c r="J85" s="667"/>
      <c r="K85" s="668"/>
    </row>
    <row r="86" spans="1:11" ht="15.75">
      <c r="A86" s="68"/>
      <c r="B86" s="197" t="s">
        <v>295</v>
      </c>
      <c r="C86" s="7"/>
      <c r="D86" s="80" t="s">
        <v>140</v>
      </c>
      <c r="E86" s="179">
        <v>15</v>
      </c>
      <c r="F86" s="179"/>
      <c r="G86" s="179">
        <v>15</v>
      </c>
      <c r="H86" s="179"/>
      <c r="I86" s="172"/>
      <c r="J86" s="236">
        <v>25</v>
      </c>
      <c r="K86" s="180"/>
    </row>
    <row r="87" spans="1:11" ht="15.75">
      <c r="A87" s="68"/>
      <c r="B87" s="197" t="s">
        <v>298</v>
      </c>
      <c r="C87" s="253">
        <v>5</v>
      </c>
      <c r="D87" s="80" t="s">
        <v>142</v>
      </c>
      <c r="E87" s="179">
        <v>15</v>
      </c>
      <c r="F87" s="179"/>
      <c r="G87" s="179">
        <v>15</v>
      </c>
      <c r="H87" s="179"/>
      <c r="I87" s="172"/>
      <c r="J87" s="236">
        <v>25</v>
      </c>
      <c r="K87" s="180"/>
    </row>
    <row r="88" spans="1:11" ht="15.75">
      <c r="A88" s="255"/>
      <c r="B88" s="256" t="s">
        <v>299</v>
      </c>
      <c r="C88" s="253"/>
      <c r="D88" s="80" t="s">
        <v>142</v>
      </c>
      <c r="E88" s="179"/>
      <c r="F88" s="179"/>
      <c r="G88" s="179">
        <v>15</v>
      </c>
      <c r="H88" s="179"/>
      <c r="I88" s="202"/>
      <c r="J88" s="236">
        <v>25</v>
      </c>
      <c r="K88" s="180"/>
    </row>
    <row r="89" spans="1:11">
      <c r="A89" s="605" t="s">
        <v>25</v>
      </c>
      <c r="B89" s="606"/>
      <c r="C89" s="606"/>
      <c r="D89" s="606"/>
      <c r="E89" s="606"/>
      <c r="F89" s="606"/>
      <c r="G89" s="606"/>
      <c r="H89" s="606"/>
      <c r="I89" s="606"/>
      <c r="J89" s="606"/>
      <c r="K89" s="607"/>
    </row>
    <row r="90" spans="1:11" ht="15.75">
      <c r="A90" s="175">
        <v>5.0999999999999996</v>
      </c>
      <c r="B90" s="93" t="s">
        <v>51</v>
      </c>
      <c r="C90" s="66" t="str">
        <f>"0912-7LEK-C"&amp;A90&amp;"-"&amp;UPPER(LEFT(B90,1))</f>
        <v>0912-7LEK-C5.1-P</v>
      </c>
      <c r="D90" s="94" t="s">
        <v>268</v>
      </c>
      <c r="E90" s="95">
        <v>240</v>
      </c>
      <c r="F90" s="95">
        <v>60</v>
      </c>
      <c r="G90" s="95">
        <v>70</v>
      </c>
      <c r="H90" s="95">
        <v>110</v>
      </c>
      <c r="I90" s="95">
        <v>0</v>
      </c>
      <c r="J90" s="238">
        <v>375</v>
      </c>
      <c r="K90" s="95">
        <v>15</v>
      </c>
    </row>
    <row r="91" spans="1:11" ht="15.75">
      <c r="A91" s="3">
        <v>5.2</v>
      </c>
      <c r="B91" s="70" t="s">
        <v>80</v>
      </c>
      <c r="C91" s="7" t="str">
        <f>"0912-7LEK-C"&amp;A91&amp;"-"&amp;UPPER(LEFT(B91,1))&amp;"W"</f>
        <v>0912-7LEK-C5.2-CW</v>
      </c>
      <c r="D91" s="80" t="s">
        <v>268</v>
      </c>
      <c r="E91" s="81">
        <v>210</v>
      </c>
      <c r="F91" s="81">
        <v>60</v>
      </c>
      <c r="G91" s="81">
        <v>60</v>
      </c>
      <c r="H91" s="81">
        <v>90</v>
      </c>
      <c r="I91" s="81">
        <v>0</v>
      </c>
      <c r="J91" s="239">
        <v>300</v>
      </c>
      <c r="K91" s="81">
        <v>12</v>
      </c>
    </row>
    <row r="92" spans="1:11" ht="15.75">
      <c r="A92" s="3">
        <v>5.3</v>
      </c>
      <c r="B92" s="70" t="s">
        <v>52</v>
      </c>
      <c r="C92" s="7" t="str">
        <f t="shared" ref="C92:C99" si="5">"0912-7LEK-C"&amp;A92&amp;"-"&amp;UPPER(LEFT(B92,1))</f>
        <v>0912-7LEK-C5.3-G</v>
      </c>
      <c r="D92" s="80">
        <v>10</v>
      </c>
      <c r="E92" s="81">
        <v>55</v>
      </c>
      <c r="F92" s="81">
        <v>15</v>
      </c>
      <c r="G92" s="81">
        <v>40</v>
      </c>
      <c r="H92" s="81">
        <v>0</v>
      </c>
      <c r="I92" s="81">
        <v>0</v>
      </c>
      <c r="J92" s="239">
        <v>75</v>
      </c>
      <c r="K92" s="81">
        <v>3</v>
      </c>
    </row>
    <row r="93" spans="1:11" ht="15.75">
      <c r="A93" s="3">
        <v>5.4</v>
      </c>
      <c r="B93" s="70" t="s">
        <v>53</v>
      </c>
      <c r="C93" s="7" t="str">
        <f t="shared" si="5"/>
        <v>0912-7LEK-C5.4-N</v>
      </c>
      <c r="D93" s="80">
        <v>7</v>
      </c>
      <c r="E93" s="81">
        <v>60</v>
      </c>
      <c r="F93" s="81">
        <v>15</v>
      </c>
      <c r="G93" s="81">
        <v>15</v>
      </c>
      <c r="H93" s="81">
        <v>30</v>
      </c>
      <c r="I93" s="81">
        <v>0</v>
      </c>
      <c r="J93" s="239">
        <v>100</v>
      </c>
      <c r="K93" s="81">
        <v>4</v>
      </c>
    </row>
    <row r="94" spans="1:11" ht="15.75">
      <c r="A94" s="3">
        <v>5.5</v>
      </c>
      <c r="B94" s="70" t="s">
        <v>54</v>
      </c>
      <c r="C94" s="7" t="str">
        <f t="shared" si="5"/>
        <v>0912-7LEK-C5.5-P</v>
      </c>
      <c r="D94" s="80">
        <v>8</v>
      </c>
      <c r="E94" s="81">
        <v>60</v>
      </c>
      <c r="F94" s="81">
        <v>15</v>
      </c>
      <c r="G94" s="81">
        <v>15</v>
      </c>
      <c r="H94" s="81">
        <v>30</v>
      </c>
      <c r="I94" s="81">
        <v>0</v>
      </c>
      <c r="J94" s="239">
        <v>100</v>
      </c>
      <c r="K94" s="81">
        <v>4</v>
      </c>
    </row>
    <row r="95" spans="1:11" ht="15.75">
      <c r="A95" s="3">
        <v>5.6</v>
      </c>
      <c r="B95" s="70" t="s">
        <v>55</v>
      </c>
      <c r="C95" s="7" t="str">
        <f t="shared" si="5"/>
        <v>0912-7LEK-C5.6-O</v>
      </c>
      <c r="D95" s="80">
        <v>7</v>
      </c>
      <c r="E95" s="81">
        <v>55</v>
      </c>
      <c r="F95" s="81">
        <v>15</v>
      </c>
      <c r="G95" s="81">
        <v>15</v>
      </c>
      <c r="H95" s="81">
        <v>25</v>
      </c>
      <c r="I95" s="81">
        <v>0</v>
      </c>
      <c r="J95" s="239">
        <v>100</v>
      </c>
      <c r="K95" s="81">
        <v>4</v>
      </c>
    </row>
    <row r="96" spans="1:11" ht="15.75">
      <c r="A96" s="3">
        <v>5.7</v>
      </c>
      <c r="B96" s="70" t="s">
        <v>56</v>
      </c>
      <c r="C96" s="7" t="str">
        <f>"0912-7LEK-C"&amp;A96&amp;"-"&amp;UPPER(LEFT(B96,1))&amp;"R"</f>
        <v>0912-7LEK-C5.7-MR</v>
      </c>
      <c r="D96" s="80">
        <v>9</v>
      </c>
      <c r="E96" s="81">
        <v>55</v>
      </c>
      <c r="F96" s="81">
        <v>15</v>
      </c>
      <c r="G96" s="81">
        <v>40</v>
      </c>
      <c r="H96" s="81">
        <v>0</v>
      </c>
      <c r="I96" s="81">
        <v>0</v>
      </c>
      <c r="J96" s="239">
        <v>100</v>
      </c>
      <c r="K96" s="81">
        <v>4</v>
      </c>
    </row>
    <row r="97" spans="1:11" ht="15.75">
      <c r="A97" s="3">
        <v>5.8</v>
      </c>
      <c r="B97" s="70" t="s">
        <v>57</v>
      </c>
      <c r="C97" s="7" t="str">
        <f>"0912-7LEK-C"&amp;A97&amp;"-"&amp;UPPER(LEFT(B97,1))&amp;"iW"</f>
        <v>0912-7LEK-C5.8-DiW</v>
      </c>
      <c r="D97" s="80">
        <v>6</v>
      </c>
      <c r="E97" s="81">
        <v>55</v>
      </c>
      <c r="F97" s="81">
        <v>15</v>
      </c>
      <c r="G97" s="81">
        <v>15</v>
      </c>
      <c r="H97" s="81">
        <v>25</v>
      </c>
      <c r="I97" s="81">
        <v>0</v>
      </c>
      <c r="J97" s="239">
        <v>75</v>
      </c>
      <c r="K97" s="81">
        <v>3</v>
      </c>
    </row>
    <row r="98" spans="1:11" ht="15.75">
      <c r="A98" s="3">
        <v>5.9</v>
      </c>
      <c r="B98" s="70" t="s">
        <v>58</v>
      </c>
      <c r="C98" s="7" t="str">
        <f>"0912-7LEK-C"&amp;A98&amp;"-"&amp;UPPER(LEFT(B98,1))&amp;"Z"</f>
        <v>0912-7LEK-C5.9-CZ</v>
      </c>
      <c r="D98" s="80" t="s">
        <v>144</v>
      </c>
      <c r="E98" s="81">
        <v>70</v>
      </c>
      <c r="F98" s="81">
        <v>15</v>
      </c>
      <c r="G98" s="81">
        <v>20</v>
      </c>
      <c r="H98" s="81">
        <v>35</v>
      </c>
      <c r="I98" s="81">
        <v>0</v>
      </c>
      <c r="J98" s="239">
        <v>100</v>
      </c>
      <c r="K98" s="81">
        <v>4</v>
      </c>
    </row>
    <row r="99" spans="1:11" ht="15.75">
      <c r="A99" s="72">
        <v>5.0999999999999996</v>
      </c>
      <c r="B99" s="70" t="s">
        <v>59</v>
      </c>
      <c r="C99" s="7" t="str">
        <f t="shared" si="5"/>
        <v>0912-7LEK-C5.1-R</v>
      </c>
      <c r="D99" s="80">
        <v>7</v>
      </c>
      <c r="E99" s="81">
        <v>50</v>
      </c>
      <c r="F99" s="81">
        <v>15</v>
      </c>
      <c r="G99" s="81">
        <v>15</v>
      </c>
      <c r="H99" s="81">
        <v>20</v>
      </c>
      <c r="I99" s="81">
        <v>0</v>
      </c>
      <c r="J99" s="239">
        <v>70</v>
      </c>
      <c r="K99" s="81">
        <v>3</v>
      </c>
    </row>
    <row r="100" spans="1:11" ht="15.75">
      <c r="A100" s="72">
        <v>5.1100000000000003</v>
      </c>
      <c r="B100" s="70" t="s">
        <v>60</v>
      </c>
      <c r="C100" s="7" t="str">
        <f>"0912-7LEK-C"&amp;A100&amp;"-"&amp;UPPER(LEFT(B100,1))&amp;"L"</f>
        <v>0912-7LEK-C5.11-DL</v>
      </c>
      <c r="D100" s="80" t="s">
        <v>142</v>
      </c>
      <c r="E100" s="81">
        <v>55</v>
      </c>
      <c r="F100" s="81">
        <v>15</v>
      </c>
      <c r="G100" s="81">
        <v>40</v>
      </c>
      <c r="H100" s="81">
        <v>0</v>
      </c>
      <c r="I100" s="81">
        <v>0</v>
      </c>
      <c r="J100" s="239">
        <v>100</v>
      </c>
      <c r="K100" s="81">
        <v>4</v>
      </c>
    </row>
    <row r="101" spans="1:11" ht="15.75">
      <c r="A101" s="72">
        <v>5.12</v>
      </c>
      <c r="B101" s="70" t="s">
        <v>61</v>
      </c>
      <c r="C101" s="7" t="str">
        <f>"0912-7LEK-C"&amp;A101&amp;"-"&amp;UPPER(LEFT(B101,1))&amp;"K"</f>
        <v>0912-7LEK-C5.12-FK</v>
      </c>
      <c r="D101" s="80" t="s">
        <v>141</v>
      </c>
      <c r="E101" s="81">
        <v>45</v>
      </c>
      <c r="F101" s="81">
        <v>20</v>
      </c>
      <c r="G101" s="81">
        <v>10</v>
      </c>
      <c r="H101" s="81">
        <v>15</v>
      </c>
      <c r="I101" s="81">
        <v>0</v>
      </c>
      <c r="J101" s="239">
        <v>65</v>
      </c>
      <c r="K101" s="81">
        <v>3</v>
      </c>
    </row>
    <row r="102" spans="1:11">
      <c r="A102" s="612" t="s">
        <v>9</v>
      </c>
      <c r="B102" s="613"/>
      <c r="C102" s="613"/>
      <c r="D102" s="614"/>
      <c r="E102" s="92">
        <f t="shared" ref="E102:K102" si="6">SUM(E90:E101)</f>
        <v>1010</v>
      </c>
      <c r="F102" s="92">
        <f t="shared" si="6"/>
        <v>275</v>
      </c>
      <c r="G102" s="92">
        <f t="shared" si="6"/>
        <v>355</v>
      </c>
      <c r="H102" s="92">
        <f t="shared" si="6"/>
        <v>380</v>
      </c>
      <c r="I102" s="92">
        <f t="shared" si="6"/>
        <v>0</v>
      </c>
      <c r="J102" s="235">
        <f t="shared" si="6"/>
        <v>1560</v>
      </c>
      <c r="K102" s="92">
        <f t="shared" si="6"/>
        <v>63</v>
      </c>
    </row>
    <row r="103" spans="1:11" ht="15" customHeight="1">
      <c r="A103" s="666" t="s">
        <v>271</v>
      </c>
      <c r="B103" s="667"/>
      <c r="C103" s="667"/>
      <c r="D103" s="667"/>
      <c r="E103" s="667"/>
      <c r="F103" s="667"/>
      <c r="G103" s="667"/>
      <c r="H103" s="667"/>
      <c r="I103" s="667"/>
      <c r="J103" s="667"/>
      <c r="K103" s="668"/>
    </row>
    <row r="104" spans="1:11" ht="15" customHeight="1">
      <c r="A104" s="183"/>
      <c r="B104" s="184"/>
      <c r="C104" s="184"/>
      <c r="D104" s="184"/>
      <c r="E104" s="186"/>
      <c r="F104" s="186"/>
      <c r="G104" s="186"/>
      <c r="H104" s="186"/>
      <c r="I104" s="186"/>
      <c r="J104" s="240"/>
      <c r="K104" s="187"/>
    </row>
    <row r="105" spans="1:11" ht="15.75">
      <c r="A105" s="68"/>
      <c r="B105" s="93" t="s">
        <v>51</v>
      </c>
      <c r="C105" s="7"/>
      <c r="D105" s="80"/>
      <c r="E105" s="179"/>
      <c r="F105" s="179"/>
      <c r="G105" s="179"/>
      <c r="H105" s="179"/>
      <c r="I105" s="172"/>
      <c r="J105" s="236"/>
      <c r="K105" s="180"/>
    </row>
    <row r="106" spans="1:11" ht="15.75">
      <c r="A106" s="68"/>
      <c r="B106" s="208" t="s">
        <v>301</v>
      </c>
      <c r="C106" s="7"/>
      <c r="D106" s="80" t="s">
        <v>141</v>
      </c>
      <c r="E106" s="179">
        <v>15</v>
      </c>
      <c r="F106" s="179">
        <v>15</v>
      </c>
      <c r="G106" s="179"/>
      <c r="H106" s="179"/>
      <c r="I106" s="189"/>
      <c r="J106" s="236">
        <v>25</v>
      </c>
      <c r="K106" s="180"/>
    </row>
    <row r="107" spans="1:11" ht="15.75">
      <c r="A107" s="68"/>
      <c r="B107" s="268" t="s">
        <v>162</v>
      </c>
      <c r="C107" s="7"/>
      <c r="D107" s="80" t="s">
        <v>126</v>
      </c>
      <c r="E107" s="179">
        <v>35</v>
      </c>
      <c r="F107" s="179">
        <v>15</v>
      </c>
      <c r="G107" s="179">
        <v>20</v>
      </c>
      <c r="H107" s="179"/>
      <c r="I107" s="202"/>
      <c r="J107" s="236">
        <v>50</v>
      </c>
      <c r="K107" s="180"/>
    </row>
    <row r="108" spans="1:11" ht="15.75">
      <c r="A108" s="68"/>
      <c r="B108" s="268" t="s">
        <v>289</v>
      </c>
      <c r="C108" s="7"/>
      <c r="D108" s="80" t="s">
        <v>126</v>
      </c>
      <c r="E108" s="179">
        <v>35</v>
      </c>
      <c r="F108" s="179">
        <v>15</v>
      </c>
      <c r="G108" s="179">
        <v>20</v>
      </c>
      <c r="H108" s="179"/>
      <c r="I108" s="202"/>
      <c r="J108" s="236">
        <v>50</v>
      </c>
      <c r="K108" s="180"/>
    </row>
    <row r="109" spans="1:11" ht="15.75">
      <c r="A109" s="68"/>
      <c r="B109" s="208" t="s">
        <v>303</v>
      </c>
      <c r="C109" s="7"/>
      <c r="D109" s="80" t="s">
        <v>141</v>
      </c>
      <c r="E109" s="179">
        <v>15</v>
      </c>
      <c r="F109" s="179">
        <v>15</v>
      </c>
      <c r="G109" s="179"/>
      <c r="H109" s="179"/>
      <c r="I109" s="202"/>
      <c r="J109" s="236">
        <v>25</v>
      </c>
      <c r="K109" s="180"/>
    </row>
    <row r="110" spans="1:11" ht="15.75">
      <c r="A110" s="68"/>
      <c r="B110" s="70" t="s">
        <v>80</v>
      </c>
      <c r="C110" s="7"/>
      <c r="D110" s="80"/>
      <c r="E110" s="179"/>
      <c r="F110" s="179"/>
      <c r="G110" s="179"/>
      <c r="H110" s="179"/>
      <c r="I110" s="181"/>
      <c r="J110" s="236"/>
      <c r="K110" s="180"/>
    </row>
    <row r="111" spans="1:11" ht="15.75">
      <c r="A111" s="68"/>
      <c r="B111" s="267" t="s">
        <v>180</v>
      </c>
      <c r="C111" s="7"/>
      <c r="D111" s="80" t="s">
        <v>126</v>
      </c>
      <c r="E111" s="179">
        <v>35</v>
      </c>
      <c r="F111" s="179">
        <v>15</v>
      </c>
      <c r="G111" s="179">
        <v>20</v>
      </c>
      <c r="H111" s="179"/>
      <c r="I111" s="202"/>
      <c r="J111" s="236">
        <v>50</v>
      </c>
      <c r="K111" s="180"/>
    </row>
    <row r="112" spans="1:11" ht="15.75">
      <c r="A112" s="68"/>
      <c r="B112" s="267" t="s">
        <v>176</v>
      </c>
      <c r="C112" s="7"/>
      <c r="D112" s="80" t="s">
        <v>126</v>
      </c>
      <c r="E112" s="179">
        <v>35</v>
      </c>
      <c r="F112" s="179">
        <v>15</v>
      </c>
      <c r="G112" s="179">
        <v>20</v>
      </c>
      <c r="H112" s="179"/>
      <c r="I112" s="202"/>
      <c r="J112" s="236">
        <v>50</v>
      </c>
      <c r="K112" s="180"/>
    </row>
    <row r="113" spans="1:11" ht="15.75">
      <c r="A113" s="68"/>
      <c r="B113" s="267" t="s">
        <v>161</v>
      </c>
      <c r="C113" s="7"/>
      <c r="D113" s="80" t="s">
        <v>126</v>
      </c>
      <c r="E113" s="179">
        <v>35</v>
      </c>
      <c r="F113" s="179">
        <v>15</v>
      </c>
      <c r="G113" s="179">
        <v>20</v>
      </c>
      <c r="H113" s="179"/>
      <c r="I113" s="202"/>
      <c r="J113" s="236">
        <v>50</v>
      </c>
      <c r="K113" s="180"/>
    </row>
    <row r="114" spans="1:11" ht="15.75">
      <c r="A114" s="68"/>
      <c r="B114" s="267" t="s">
        <v>173</v>
      </c>
      <c r="C114" s="7"/>
      <c r="D114" s="80" t="s">
        <v>126</v>
      </c>
      <c r="E114" s="179">
        <v>35</v>
      </c>
      <c r="F114" s="179">
        <v>15</v>
      </c>
      <c r="G114" s="179">
        <v>20</v>
      </c>
      <c r="H114" s="179"/>
      <c r="I114" s="202"/>
      <c r="J114" s="236">
        <v>50</v>
      </c>
      <c r="K114" s="180"/>
    </row>
    <row r="115" spans="1:11" ht="15.75">
      <c r="A115" s="68"/>
      <c r="B115" s="247" t="s">
        <v>159</v>
      </c>
      <c r="C115" s="262"/>
      <c r="D115" s="91" t="s">
        <v>141</v>
      </c>
      <c r="E115" s="179">
        <v>15</v>
      </c>
      <c r="F115" s="179">
        <v>15</v>
      </c>
      <c r="G115" s="179"/>
      <c r="H115" s="179"/>
      <c r="I115" s="202"/>
      <c r="J115" s="236">
        <v>25</v>
      </c>
      <c r="K115" s="180"/>
    </row>
    <row r="116" spans="1:11">
      <c r="A116" s="68"/>
      <c r="B116" s="274" t="s">
        <v>170</v>
      </c>
      <c r="C116" s="87"/>
      <c r="D116" s="110">
        <v>10</v>
      </c>
      <c r="E116" s="87">
        <v>15</v>
      </c>
      <c r="F116" s="179">
        <v>15</v>
      </c>
      <c r="G116" s="179"/>
      <c r="H116" s="179"/>
      <c r="I116" s="202"/>
      <c r="J116" s="236">
        <v>25</v>
      </c>
      <c r="K116" s="180"/>
    </row>
    <row r="117" spans="1:11" ht="15.75">
      <c r="A117" s="68"/>
      <c r="B117" s="70" t="s">
        <v>52</v>
      </c>
      <c r="C117" s="7"/>
      <c r="D117" s="80"/>
      <c r="E117" s="179"/>
      <c r="F117" s="179"/>
      <c r="G117" s="179"/>
      <c r="H117" s="179"/>
      <c r="I117" s="181"/>
      <c r="J117" s="236"/>
      <c r="K117" s="180"/>
    </row>
    <row r="118" spans="1:11" ht="15.75">
      <c r="A118" s="68"/>
      <c r="B118" s="70" t="s">
        <v>53</v>
      </c>
      <c r="C118" s="7"/>
      <c r="D118" s="80"/>
      <c r="E118" s="179"/>
      <c r="F118" s="179"/>
      <c r="G118" s="179"/>
      <c r="H118" s="179"/>
      <c r="I118" s="181"/>
      <c r="J118" s="236"/>
      <c r="K118" s="180"/>
    </row>
    <row r="119" spans="1:11" ht="15.75">
      <c r="A119" s="68"/>
      <c r="B119" s="70" t="s">
        <v>54</v>
      </c>
      <c r="C119" s="7"/>
      <c r="D119" s="80"/>
      <c r="E119" s="179"/>
      <c r="F119" s="179"/>
      <c r="G119" s="179"/>
      <c r="H119" s="179"/>
      <c r="I119" s="181"/>
      <c r="J119" s="236"/>
      <c r="K119" s="180"/>
    </row>
    <row r="120" spans="1:11" ht="15.75">
      <c r="A120" s="68"/>
      <c r="B120" s="265" t="s">
        <v>291</v>
      </c>
      <c r="C120" s="7"/>
      <c r="D120" s="80" t="s">
        <v>126</v>
      </c>
      <c r="E120" s="179">
        <v>15</v>
      </c>
      <c r="F120" s="179">
        <v>15</v>
      </c>
      <c r="G120" s="179"/>
      <c r="H120" s="179"/>
      <c r="I120" s="202"/>
      <c r="J120" s="236">
        <v>25</v>
      </c>
      <c r="K120" s="180"/>
    </row>
    <row r="121" spans="1:11">
      <c r="A121" s="68"/>
      <c r="B121" s="274" t="s">
        <v>292</v>
      </c>
      <c r="C121" s="7"/>
      <c r="D121" s="80" t="s">
        <v>129</v>
      </c>
      <c r="E121" s="179">
        <v>15</v>
      </c>
      <c r="F121" s="179">
        <v>15</v>
      </c>
      <c r="G121" s="179"/>
      <c r="H121" s="179"/>
      <c r="I121" s="202"/>
      <c r="J121" s="236">
        <v>25</v>
      </c>
      <c r="K121" s="180"/>
    </row>
    <row r="122" spans="1:11" ht="15.75">
      <c r="A122" s="68"/>
      <c r="B122" s="70" t="s">
        <v>55</v>
      </c>
      <c r="C122" s="7"/>
      <c r="D122" s="80"/>
      <c r="E122" s="179"/>
      <c r="F122" s="179"/>
      <c r="G122" s="179"/>
      <c r="H122" s="179"/>
      <c r="I122" s="181"/>
      <c r="J122" s="236"/>
      <c r="K122" s="180"/>
    </row>
    <row r="123" spans="1:11" ht="15.75">
      <c r="A123" s="68"/>
      <c r="B123" s="265" t="s">
        <v>175</v>
      </c>
      <c r="C123" s="7"/>
      <c r="D123" s="80" t="s">
        <v>126</v>
      </c>
      <c r="E123" s="179">
        <v>35</v>
      </c>
      <c r="F123" s="179">
        <v>15</v>
      </c>
      <c r="G123" s="179">
        <v>20</v>
      </c>
      <c r="H123" s="179"/>
      <c r="I123" s="202"/>
      <c r="J123" s="236">
        <v>50</v>
      </c>
      <c r="K123" s="180"/>
    </row>
    <row r="124" spans="1:11" ht="15.75">
      <c r="A124" s="68"/>
      <c r="B124" s="265" t="s">
        <v>166</v>
      </c>
      <c r="C124" s="7"/>
      <c r="D124" s="80" t="s">
        <v>126</v>
      </c>
      <c r="E124" s="179">
        <v>35</v>
      </c>
      <c r="F124" s="179">
        <v>15</v>
      </c>
      <c r="G124" s="179">
        <v>20</v>
      </c>
      <c r="H124" s="179"/>
      <c r="I124" s="202"/>
      <c r="J124" s="236">
        <v>50</v>
      </c>
      <c r="K124" s="180"/>
    </row>
    <row r="125" spans="1:11" ht="15.75">
      <c r="A125" s="68"/>
      <c r="B125" s="269" t="s">
        <v>165</v>
      </c>
      <c r="C125" s="7"/>
      <c r="D125" s="80" t="s">
        <v>126</v>
      </c>
      <c r="E125" s="179">
        <v>35</v>
      </c>
      <c r="F125" s="179">
        <v>15</v>
      </c>
      <c r="G125" s="179">
        <v>20</v>
      </c>
      <c r="H125" s="179"/>
      <c r="I125" s="202"/>
      <c r="J125" s="236">
        <v>50</v>
      </c>
      <c r="K125" s="180"/>
    </row>
    <row r="126" spans="1:11" ht="15.75">
      <c r="A126" s="68"/>
      <c r="B126" s="70" t="s">
        <v>56</v>
      </c>
      <c r="C126" s="7"/>
      <c r="D126" s="80"/>
      <c r="E126" s="179"/>
      <c r="F126" s="179"/>
      <c r="G126" s="179"/>
      <c r="H126" s="179"/>
      <c r="I126" s="181"/>
      <c r="J126" s="236"/>
      <c r="K126" s="180"/>
    </row>
    <row r="127" spans="1:11" ht="15.75">
      <c r="A127" s="68"/>
      <c r="B127" s="70" t="s">
        <v>57</v>
      </c>
      <c r="C127" s="7"/>
      <c r="D127" s="80"/>
      <c r="E127" s="179"/>
      <c r="F127" s="179"/>
      <c r="G127" s="179"/>
      <c r="H127" s="179"/>
      <c r="I127" s="181"/>
      <c r="J127" s="236"/>
      <c r="K127" s="180"/>
    </row>
    <row r="128" spans="1:11" ht="15.75">
      <c r="A128" s="68"/>
      <c r="B128" s="265" t="s">
        <v>158</v>
      </c>
      <c r="C128" s="7"/>
      <c r="D128" s="80" t="s">
        <v>144</v>
      </c>
      <c r="E128" s="179">
        <v>15</v>
      </c>
      <c r="F128" s="179">
        <v>15</v>
      </c>
      <c r="G128" s="179"/>
      <c r="H128" s="179"/>
      <c r="I128" s="181"/>
      <c r="J128" s="236">
        <v>25</v>
      </c>
      <c r="K128" s="180"/>
    </row>
    <row r="129" spans="1:14" ht="15.75">
      <c r="A129" s="68"/>
      <c r="B129" s="70" t="s">
        <v>58</v>
      </c>
      <c r="C129" s="7"/>
      <c r="D129" s="80"/>
      <c r="E129" s="179"/>
      <c r="F129" s="179"/>
      <c r="G129" s="179"/>
      <c r="H129" s="179"/>
      <c r="I129" s="181"/>
      <c r="J129" s="236"/>
      <c r="K129" s="180"/>
    </row>
    <row r="130" spans="1:14" ht="15.75">
      <c r="A130" s="68"/>
      <c r="B130" s="197" t="s">
        <v>157</v>
      </c>
      <c r="C130" s="7"/>
      <c r="D130" s="80" t="s">
        <v>144</v>
      </c>
      <c r="E130" s="179">
        <v>15</v>
      </c>
      <c r="F130" s="179">
        <v>15</v>
      </c>
      <c r="G130" s="179"/>
      <c r="H130" s="179"/>
      <c r="I130" s="202"/>
      <c r="J130" s="236">
        <v>25</v>
      </c>
      <c r="K130" s="180"/>
    </row>
    <row r="131" spans="1:14" ht="15.75">
      <c r="A131" s="68"/>
      <c r="B131" s="70" t="s">
        <v>59</v>
      </c>
      <c r="C131" s="7"/>
      <c r="D131" s="80"/>
      <c r="E131" s="179"/>
      <c r="F131" s="179"/>
      <c r="G131" s="179"/>
      <c r="H131" s="179"/>
      <c r="I131" s="181"/>
      <c r="J131" s="236"/>
      <c r="K131" s="180"/>
    </row>
    <row r="132" spans="1:14" ht="15.75">
      <c r="A132" s="68"/>
      <c r="B132" s="70" t="s">
        <v>60</v>
      </c>
      <c r="C132" s="7"/>
      <c r="D132" s="80"/>
      <c r="E132" s="179"/>
      <c r="F132" s="179"/>
      <c r="G132" s="179"/>
      <c r="H132" s="179"/>
      <c r="I132" s="181"/>
      <c r="J132" s="236"/>
      <c r="K132" s="180"/>
    </row>
    <row r="133" spans="1:14" ht="15.75">
      <c r="A133" s="68"/>
      <c r="B133" s="70"/>
      <c r="C133" s="7"/>
      <c r="D133" s="80"/>
      <c r="E133" s="179"/>
      <c r="F133" s="179"/>
      <c r="G133" s="179"/>
      <c r="H133" s="179"/>
      <c r="I133" s="202"/>
      <c r="J133" s="236"/>
      <c r="K133" s="180"/>
    </row>
    <row r="134" spans="1:14" ht="15.75">
      <c r="A134" s="68"/>
      <c r="B134" s="70" t="s">
        <v>61</v>
      </c>
      <c r="C134" s="7"/>
      <c r="D134" s="80"/>
      <c r="E134" s="179"/>
      <c r="F134" s="179"/>
      <c r="G134" s="179"/>
      <c r="H134" s="179"/>
      <c r="I134" s="181"/>
      <c r="J134" s="236"/>
      <c r="K134" s="180"/>
    </row>
    <row r="135" spans="1:14" ht="15.75">
      <c r="A135" s="68"/>
      <c r="B135" s="266" t="s">
        <v>286</v>
      </c>
      <c r="C135" s="7"/>
      <c r="D135" s="80" t="s">
        <v>144</v>
      </c>
      <c r="E135" s="179">
        <v>15</v>
      </c>
      <c r="F135" s="179">
        <v>15</v>
      </c>
      <c r="G135" s="179"/>
      <c r="H135" s="179"/>
      <c r="I135" s="181"/>
      <c r="J135" s="236">
        <v>25</v>
      </c>
      <c r="K135" s="180"/>
    </row>
    <row r="136" spans="1:14">
      <c r="A136" s="68"/>
      <c r="B136" s="274" t="s">
        <v>172</v>
      </c>
      <c r="C136" s="7"/>
      <c r="D136" s="80" t="s">
        <v>129</v>
      </c>
      <c r="E136" s="179">
        <v>15</v>
      </c>
      <c r="F136" s="179">
        <v>15</v>
      </c>
      <c r="G136" s="179"/>
      <c r="H136" s="179"/>
      <c r="I136" s="172"/>
      <c r="J136" s="236">
        <v>25</v>
      </c>
      <c r="K136" s="180"/>
    </row>
    <row r="137" spans="1:14">
      <c r="A137" s="605" t="s">
        <v>26</v>
      </c>
      <c r="B137" s="606"/>
      <c r="C137" s="606"/>
      <c r="D137" s="606"/>
      <c r="E137" s="606"/>
      <c r="F137" s="606"/>
      <c r="G137" s="606"/>
      <c r="H137" s="606"/>
      <c r="I137" s="606"/>
      <c r="J137" s="606"/>
      <c r="K137" s="607"/>
    </row>
    <row r="138" spans="1:14" ht="15.75">
      <c r="A138" s="175">
        <v>6.1</v>
      </c>
      <c r="B138" s="93" t="s">
        <v>62</v>
      </c>
      <c r="C138" s="163" t="str">
        <f>"0912-7LEK-C"&amp;A138&amp;"-"&amp;UPPER(LEFT(B138,1))&amp;"iIT"</f>
        <v>0912-7LEK-C6.1-AiIT</v>
      </c>
      <c r="D138" s="164" t="s">
        <v>241</v>
      </c>
      <c r="E138" s="165">
        <v>95</v>
      </c>
      <c r="F138" s="165">
        <v>30</v>
      </c>
      <c r="G138" s="165">
        <v>30</v>
      </c>
      <c r="H138" s="165">
        <v>35</v>
      </c>
      <c r="I138" s="165">
        <v>0</v>
      </c>
      <c r="J138" s="241">
        <v>125</v>
      </c>
      <c r="K138" s="165">
        <v>5</v>
      </c>
    </row>
    <row r="139" spans="1:14" ht="15.75">
      <c r="A139" s="3">
        <v>6.2</v>
      </c>
      <c r="B139" s="70" t="s">
        <v>63</v>
      </c>
      <c r="C139" s="66" t="str">
        <f>"0912-7LEK-C"&amp;A139&amp;"-"&amp;UPPER(LEFT(B139,1))&amp;""</f>
        <v>0912-7LEK-C6.2-C</v>
      </c>
      <c r="D139" s="80" t="s">
        <v>242</v>
      </c>
      <c r="E139" s="81">
        <v>255</v>
      </c>
      <c r="F139" s="81">
        <v>90</v>
      </c>
      <c r="G139" s="81">
        <v>90</v>
      </c>
      <c r="H139" s="81">
        <v>75</v>
      </c>
      <c r="I139" s="81">
        <v>0</v>
      </c>
      <c r="J139" s="239">
        <v>375</v>
      </c>
      <c r="K139" s="81">
        <v>15</v>
      </c>
    </row>
    <row r="140" spans="1:14" ht="15.75">
      <c r="A140" s="3">
        <v>6.3</v>
      </c>
      <c r="B140" s="70" t="s">
        <v>64</v>
      </c>
      <c r="C140" s="66" t="str">
        <f>"0912-7LEK-C"&amp;A140&amp;"-"&amp;UPPER(LEFT(B140,1))&amp;"D"</f>
        <v>0912-7LEK-C6.3-CD</v>
      </c>
      <c r="D140" s="80">
        <v>9</v>
      </c>
      <c r="E140" s="81">
        <v>55</v>
      </c>
      <c r="F140" s="81">
        <v>15</v>
      </c>
      <c r="G140" s="81">
        <v>15</v>
      </c>
      <c r="H140" s="81">
        <v>25</v>
      </c>
      <c r="I140" s="81">
        <v>0</v>
      </c>
      <c r="J140" s="239">
        <v>75</v>
      </c>
      <c r="K140" s="81">
        <v>3</v>
      </c>
    </row>
    <row r="141" spans="1:14" ht="15.75">
      <c r="A141" s="3">
        <v>6.4</v>
      </c>
      <c r="B141" s="70" t="s">
        <v>65</v>
      </c>
      <c r="C141" s="66" t="str">
        <f>"0912-7LEK-C"&amp;A141&amp;"-"&amp;UPPER(LEFT(B141,1))&amp;"iT"</f>
        <v>0912-7LEK-C6.4-OiT</v>
      </c>
      <c r="D141" s="80">
        <v>10</v>
      </c>
      <c r="E141" s="81">
        <v>55</v>
      </c>
      <c r="F141" s="81">
        <v>15</v>
      </c>
      <c r="G141" s="81">
        <v>15</v>
      </c>
      <c r="H141" s="81">
        <v>25</v>
      </c>
      <c r="I141" s="81">
        <v>0</v>
      </c>
      <c r="J141" s="239">
        <v>75</v>
      </c>
      <c r="K141" s="81">
        <v>3</v>
      </c>
    </row>
    <row r="142" spans="1:14" ht="15.75">
      <c r="A142" s="3">
        <v>6.5</v>
      </c>
      <c r="B142" s="70" t="s">
        <v>66</v>
      </c>
      <c r="C142" s="66" t="str">
        <f>"0912-7LEK-C"&amp;A142&amp;"-"&amp;UPPER(LEFT(B142,1))&amp;"O"</f>
        <v>0912-7LEK-C6.5-CO</v>
      </c>
      <c r="D142" s="80">
        <v>10</v>
      </c>
      <c r="E142" s="81">
        <v>45</v>
      </c>
      <c r="F142" s="81">
        <v>15</v>
      </c>
      <c r="G142" s="81">
        <v>10</v>
      </c>
      <c r="H142" s="81">
        <v>20</v>
      </c>
      <c r="I142" s="81">
        <v>0</v>
      </c>
      <c r="J142" s="239">
        <v>50</v>
      </c>
      <c r="K142" s="81">
        <v>2</v>
      </c>
      <c r="N142" s="201"/>
    </row>
    <row r="143" spans="1:14" ht="15.75">
      <c r="A143" s="3">
        <v>6.6</v>
      </c>
      <c r="B143" s="73" t="s">
        <v>67</v>
      </c>
      <c r="C143" s="66" t="str">
        <f>"0912-7LEK-C"&amp;A143&amp;"-"&amp;UPPER(LEFT(B143,1))&amp;""</f>
        <v>0912-7LEK-C6.6-U</v>
      </c>
      <c r="D143" s="80">
        <v>10</v>
      </c>
      <c r="E143" s="81">
        <v>45</v>
      </c>
      <c r="F143" s="81">
        <v>15</v>
      </c>
      <c r="G143" s="81">
        <v>15</v>
      </c>
      <c r="H143" s="81">
        <v>15</v>
      </c>
      <c r="I143" s="81">
        <v>0</v>
      </c>
      <c r="J143" s="239">
        <v>75</v>
      </c>
      <c r="K143" s="81">
        <v>3</v>
      </c>
    </row>
    <row r="144" spans="1:14" ht="15.75">
      <c r="A144" s="3">
        <v>6.7</v>
      </c>
      <c r="B144" s="73" t="s">
        <v>68</v>
      </c>
      <c r="C144" s="66" t="str">
        <f>"0912-7LEK-C"&amp;A144&amp;"-"&amp;UPPER(LEFT(B144,1))&amp;""</f>
        <v>0912-7LEK-C6.7-O</v>
      </c>
      <c r="D144" s="80">
        <v>9</v>
      </c>
      <c r="E144" s="81">
        <v>45</v>
      </c>
      <c r="F144" s="81">
        <v>15</v>
      </c>
      <c r="G144" s="81">
        <v>30</v>
      </c>
      <c r="H144" s="81">
        <v>0</v>
      </c>
      <c r="I144" s="81">
        <v>0</v>
      </c>
      <c r="J144" s="239">
        <v>75</v>
      </c>
      <c r="K144" s="81">
        <v>3</v>
      </c>
    </row>
    <row r="145" spans="1:11" ht="18.75" customHeight="1">
      <c r="A145" s="3">
        <v>6.8</v>
      </c>
      <c r="B145" s="73" t="s">
        <v>69</v>
      </c>
      <c r="C145" s="66" t="str">
        <f>"0912-7LEK-C"&amp;A145&amp;"-"&amp;UPPER(LEFT(B145,1))&amp;"R"</f>
        <v>0912-7LEK-C6.8-MR</v>
      </c>
      <c r="D145" s="80">
        <v>10</v>
      </c>
      <c r="E145" s="81">
        <v>40</v>
      </c>
      <c r="F145" s="81">
        <v>15</v>
      </c>
      <c r="G145" s="81">
        <v>10</v>
      </c>
      <c r="H145" s="81">
        <v>15</v>
      </c>
      <c r="I145" s="81">
        <v>0</v>
      </c>
      <c r="J145" s="239">
        <v>50</v>
      </c>
      <c r="K145" s="81">
        <v>2</v>
      </c>
    </row>
    <row r="146" spans="1:11" ht="15.75">
      <c r="A146" s="3">
        <v>6.9</v>
      </c>
      <c r="B146" s="73" t="s">
        <v>70</v>
      </c>
      <c r="C146" s="66" t="str">
        <f>"0912-7LEK-C"&amp;A146&amp;"-"&amp;UPPER(LEFT(B146,1))&amp;"iP"</f>
        <v>0912-7LEK-C6.9-GiP</v>
      </c>
      <c r="D146" s="80" t="s">
        <v>243</v>
      </c>
      <c r="E146" s="81">
        <v>110</v>
      </c>
      <c r="F146" s="81">
        <v>30</v>
      </c>
      <c r="G146" s="81">
        <v>55</v>
      </c>
      <c r="H146" s="81">
        <v>25</v>
      </c>
      <c r="I146" s="81">
        <v>0</v>
      </c>
      <c r="J146" s="239">
        <v>150</v>
      </c>
      <c r="K146" s="81">
        <v>6</v>
      </c>
    </row>
    <row r="147" spans="1:11" ht="15.75">
      <c r="A147" s="72">
        <v>6.1</v>
      </c>
      <c r="B147" s="73" t="s">
        <v>71</v>
      </c>
      <c r="C147" s="66" t="str">
        <f>"0912-7LEK-C"&amp;A147&amp;"-"&amp;UPPER(LEFT(B147,1))&amp;""</f>
        <v>0912-7LEK-C6.1-O</v>
      </c>
      <c r="D147" s="80">
        <v>10</v>
      </c>
      <c r="E147" s="81">
        <v>40</v>
      </c>
      <c r="F147" s="81">
        <v>15</v>
      </c>
      <c r="G147" s="81">
        <v>10</v>
      </c>
      <c r="H147" s="81">
        <v>15</v>
      </c>
      <c r="I147" s="81">
        <v>0</v>
      </c>
      <c r="J147" s="239">
        <v>50</v>
      </c>
      <c r="K147" s="81">
        <v>2</v>
      </c>
    </row>
    <row r="148" spans="1:11" ht="15.75">
      <c r="A148" s="72">
        <v>6.11</v>
      </c>
      <c r="B148" s="73" t="s">
        <v>72</v>
      </c>
      <c r="C148" s="66" t="str">
        <f>"0912-7LEK-C"&amp;A148&amp;"-"&amp;UPPER(LEFT(B148,1))&amp;""</f>
        <v>0912-7LEK-C6.11-N</v>
      </c>
      <c r="D148" s="80">
        <v>10</v>
      </c>
      <c r="E148" s="81">
        <v>45</v>
      </c>
      <c r="F148" s="81">
        <v>15</v>
      </c>
      <c r="G148" s="81">
        <v>15</v>
      </c>
      <c r="H148" s="81">
        <v>15</v>
      </c>
      <c r="I148" s="81">
        <v>0</v>
      </c>
      <c r="J148" s="239">
        <v>50</v>
      </c>
      <c r="K148" s="81">
        <v>2</v>
      </c>
    </row>
    <row r="149" spans="1:11" ht="15.75">
      <c r="A149" s="72">
        <v>6.12</v>
      </c>
      <c r="B149" s="73" t="s">
        <v>73</v>
      </c>
      <c r="C149" s="66" t="str">
        <f>"0912-7LEK-C"&amp;A149&amp;"-"&amp;UPPER(LEFT(B149,1))&amp;""</f>
        <v>0912-7LEK-C6.12-T</v>
      </c>
      <c r="D149" s="80" t="s">
        <v>126</v>
      </c>
      <c r="E149" s="81">
        <v>15</v>
      </c>
      <c r="F149" s="81">
        <v>15</v>
      </c>
      <c r="G149" s="81">
        <v>0</v>
      </c>
      <c r="H149" s="81">
        <v>0</v>
      </c>
      <c r="I149" s="81">
        <v>0</v>
      </c>
      <c r="J149" s="239">
        <v>25</v>
      </c>
      <c r="K149" s="81">
        <v>1</v>
      </c>
    </row>
    <row r="150" spans="1:11" ht="15.75">
      <c r="A150" s="72">
        <v>6.13</v>
      </c>
      <c r="B150" s="73" t="s">
        <v>74</v>
      </c>
      <c r="C150" s="66" t="str">
        <f>"0912-7LEK-C"&amp;A150&amp;"-"&amp;UPPER(LEFT(B150,1))&amp;"O"</f>
        <v>0912-7LEK-C6.13-DO</v>
      </c>
      <c r="D150" s="80">
        <v>8</v>
      </c>
      <c r="E150" s="81">
        <v>55</v>
      </c>
      <c r="F150" s="81">
        <v>15</v>
      </c>
      <c r="G150" s="81">
        <v>15</v>
      </c>
      <c r="H150" s="81">
        <v>25</v>
      </c>
      <c r="I150" s="81">
        <v>0</v>
      </c>
      <c r="J150" s="239">
        <v>75</v>
      </c>
      <c r="K150" s="81">
        <v>3</v>
      </c>
    </row>
    <row r="151" spans="1:11">
      <c r="A151" s="612" t="s">
        <v>9</v>
      </c>
      <c r="B151" s="613"/>
      <c r="C151" s="613"/>
      <c r="D151" s="614"/>
      <c r="E151" s="92">
        <f t="shared" ref="E151:K151" si="7">SUM(E138:E150)</f>
        <v>900</v>
      </c>
      <c r="F151" s="92">
        <f t="shared" si="7"/>
        <v>300</v>
      </c>
      <c r="G151" s="92">
        <f t="shared" si="7"/>
        <v>310</v>
      </c>
      <c r="H151" s="92">
        <f t="shared" si="7"/>
        <v>290</v>
      </c>
      <c r="I151" s="92">
        <f t="shared" si="7"/>
        <v>0</v>
      </c>
      <c r="J151" s="235">
        <f t="shared" si="7"/>
        <v>1250</v>
      </c>
      <c r="K151" s="92">
        <f t="shared" si="7"/>
        <v>50</v>
      </c>
    </row>
    <row r="152" spans="1:11" ht="15.75">
      <c r="A152" s="212"/>
      <c r="B152" s="209" t="s">
        <v>62</v>
      </c>
      <c r="C152" s="66"/>
      <c r="D152" s="213"/>
      <c r="E152" s="214"/>
      <c r="F152" s="214"/>
      <c r="G152" s="214"/>
      <c r="H152" s="214"/>
      <c r="I152" s="214"/>
      <c r="J152" s="242"/>
      <c r="K152" s="214"/>
    </row>
    <row r="153" spans="1:11" ht="15.75">
      <c r="A153" s="212"/>
      <c r="B153" s="216" t="s">
        <v>288</v>
      </c>
      <c r="C153" s="66"/>
      <c r="D153" s="80" t="s">
        <v>126</v>
      </c>
      <c r="E153" s="179">
        <v>35</v>
      </c>
      <c r="F153" s="179">
        <v>15</v>
      </c>
      <c r="G153" s="179">
        <v>20</v>
      </c>
      <c r="H153" s="179"/>
      <c r="I153" s="202"/>
      <c r="J153" s="236">
        <v>50</v>
      </c>
      <c r="K153" s="214"/>
    </row>
    <row r="154" spans="1:11" ht="15.75">
      <c r="A154" s="212"/>
      <c r="B154" s="216" t="s">
        <v>302</v>
      </c>
      <c r="C154" s="66"/>
      <c r="D154" s="80" t="s">
        <v>141</v>
      </c>
      <c r="E154" s="81">
        <v>15</v>
      </c>
      <c r="F154" s="81">
        <v>15</v>
      </c>
      <c r="G154" s="81"/>
      <c r="H154" s="81"/>
      <c r="I154" s="81"/>
      <c r="J154" s="239">
        <v>25</v>
      </c>
      <c r="K154" s="81"/>
    </row>
    <row r="155" spans="1:11" ht="15.75">
      <c r="A155" s="206"/>
      <c r="B155" s="210" t="s">
        <v>63</v>
      </c>
      <c r="C155" s="7"/>
      <c r="D155" s="207"/>
      <c r="E155" s="179"/>
      <c r="F155" s="179"/>
      <c r="G155" s="179"/>
      <c r="H155" s="179"/>
      <c r="I155" s="179"/>
      <c r="J155" s="235"/>
      <c r="K155" s="179"/>
    </row>
    <row r="156" spans="1:11" ht="15.75">
      <c r="A156" s="206"/>
      <c r="B156" s="247" t="s">
        <v>155</v>
      </c>
      <c r="C156" s="87"/>
      <c r="D156" s="87">
        <v>8</v>
      </c>
      <c r="E156" s="87">
        <v>15</v>
      </c>
      <c r="F156" s="179">
        <v>15</v>
      </c>
      <c r="G156" s="179"/>
      <c r="H156" s="179"/>
      <c r="I156" s="179"/>
      <c r="J156" s="235">
        <v>25</v>
      </c>
      <c r="K156" s="179"/>
    </row>
    <row r="157" spans="1:11" ht="15.75">
      <c r="A157" s="206"/>
      <c r="B157" s="247" t="s">
        <v>169</v>
      </c>
      <c r="C157" s="87"/>
      <c r="D157" s="80" t="s">
        <v>126</v>
      </c>
      <c r="E157" s="179">
        <v>35</v>
      </c>
      <c r="F157" s="179">
        <v>15</v>
      </c>
      <c r="G157" s="179">
        <v>20</v>
      </c>
      <c r="H157" s="179"/>
      <c r="I157" s="202"/>
      <c r="J157" s="236">
        <v>50</v>
      </c>
      <c r="K157" s="179"/>
    </row>
    <row r="158" spans="1:11" ht="15.75">
      <c r="A158" s="206"/>
      <c r="B158" s="258" t="s">
        <v>300</v>
      </c>
      <c r="C158" s="87"/>
      <c r="D158" s="218">
        <v>8</v>
      </c>
      <c r="E158" s="219">
        <v>15</v>
      </c>
      <c r="F158" s="179">
        <v>15</v>
      </c>
      <c r="G158" s="179"/>
      <c r="H158" s="179"/>
      <c r="I158" s="179"/>
      <c r="J158" s="235">
        <v>25</v>
      </c>
      <c r="K158" s="179"/>
    </row>
    <row r="159" spans="1:11" ht="15.75">
      <c r="A159" s="206"/>
      <c r="B159" s="258" t="s">
        <v>177</v>
      </c>
      <c r="C159" s="87"/>
      <c r="D159" s="80" t="s">
        <v>126</v>
      </c>
      <c r="E159" s="179">
        <v>35</v>
      </c>
      <c r="F159" s="179">
        <v>15</v>
      </c>
      <c r="G159" s="179">
        <v>20</v>
      </c>
      <c r="H159" s="179"/>
      <c r="I159" s="202"/>
      <c r="J159" s="236">
        <v>50</v>
      </c>
      <c r="K159" s="179"/>
    </row>
    <row r="160" spans="1:11" ht="15.75">
      <c r="A160" s="206"/>
      <c r="B160" s="210" t="s">
        <v>64</v>
      </c>
      <c r="C160" s="7"/>
      <c r="D160" s="207"/>
      <c r="E160" s="179"/>
      <c r="F160" s="179"/>
      <c r="G160" s="179"/>
      <c r="H160" s="179"/>
      <c r="I160" s="179"/>
      <c r="J160" s="235"/>
      <c r="K160" s="179"/>
    </row>
    <row r="161" spans="1:11" ht="15.75">
      <c r="A161" s="206"/>
      <c r="B161" s="210" t="s">
        <v>65</v>
      </c>
      <c r="C161" s="7"/>
      <c r="D161" s="207"/>
      <c r="E161" s="179"/>
      <c r="F161" s="179"/>
      <c r="G161" s="179"/>
      <c r="H161" s="179"/>
      <c r="I161" s="179"/>
      <c r="J161" s="235"/>
      <c r="K161" s="179"/>
    </row>
    <row r="162" spans="1:11" ht="15.75">
      <c r="A162" s="206"/>
      <c r="B162" s="210" t="s">
        <v>66</v>
      </c>
      <c r="C162" s="7"/>
      <c r="D162" s="207"/>
      <c r="E162" s="179"/>
      <c r="F162" s="179"/>
      <c r="G162" s="179"/>
      <c r="H162" s="179"/>
      <c r="I162" s="179"/>
      <c r="J162" s="235"/>
      <c r="K162" s="179"/>
    </row>
    <row r="163" spans="1:11" ht="15.75">
      <c r="A163" s="206"/>
      <c r="B163" s="211" t="s">
        <v>67</v>
      </c>
      <c r="C163" s="7"/>
      <c r="D163" s="207"/>
      <c r="E163" s="179"/>
      <c r="F163" s="179"/>
      <c r="G163" s="179"/>
      <c r="H163" s="179"/>
      <c r="I163" s="179"/>
      <c r="J163" s="235"/>
      <c r="K163" s="179"/>
    </row>
    <row r="164" spans="1:11" ht="15.75">
      <c r="A164" s="206"/>
      <c r="B164" s="211" t="s">
        <v>68</v>
      </c>
      <c r="C164" s="7"/>
      <c r="D164" s="207"/>
      <c r="E164" s="179"/>
      <c r="F164" s="179"/>
      <c r="G164" s="179"/>
      <c r="H164" s="179"/>
      <c r="I164" s="179"/>
      <c r="J164" s="235"/>
      <c r="K164" s="179"/>
    </row>
    <row r="165" spans="1:11" ht="15.75">
      <c r="A165" s="206"/>
      <c r="B165" s="211" t="s">
        <v>69</v>
      </c>
      <c r="C165" s="7"/>
      <c r="D165" s="207"/>
      <c r="E165" s="179"/>
      <c r="F165" s="179"/>
      <c r="G165" s="179"/>
      <c r="H165" s="179"/>
      <c r="I165" s="179"/>
      <c r="J165" s="235"/>
      <c r="K165" s="179"/>
    </row>
    <row r="166" spans="1:11" ht="15.75">
      <c r="A166" s="206"/>
      <c r="B166" s="211" t="s">
        <v>70</v>
      </c>
      <c r="C166" s="7"/>
      <c r="D166" s="207"/>
      <c r="E166" s="179"/>
      <c r="F166" s="179"/>
      <c r="G166" s="179"/>
      <c r="H166" s="179"/>
      <c r="I166" s="179"/>
      <c r="J166" s="235"/>
      <c r="K166" s="179"/>
    </row>
    <row r="167" spans="1:11" ht="15.75">
      <c r="A167" s="206"/>
      <c r="B167" s="259" t="s">
        <v>304</v>
      </c>
      <c r="C167" s="7"/>
      <c r="D167" s="80" t="s">
        <v>141</v>
      </c>
      <c r="E167" s="179">
        <v>15</v>
      </c>
      <c r="F167" s="179">
        <v>15</v>
      </c>
      <c r="G167" s="179"/>
      <c r="H167" s="179"/>
      <c r="I167" s="202"/>
      <c r="J167" s="236">
        <v>25</v>
      </c>
      <c r="K167" s="179"/>
    </row>
    <row r="168" spans="1:11" ht="15.75">
      <c r="A168" s="206"/>
      <c r="B168" s="211" t="s">
        <v>71</v>
      </c>
      <c r="C168" s="7"/>
      <c r="D168" s="207"/>
      <c r="E168" s="179"/>
      <c r="F168" s="179"/>
      <c r="G168" s="179"/>
      <c r="H168" s="179"/>
      <c r="I168" s="179"/>
      <c r="J168" s="235"/>
      <c r="K168" s="179"/>
    </row>
    <row r="169" spans="1:11" ht="15.75">
      <c r="A169" s="206"/>
      <c r="B169" s="211" t="s">
        <v>72</v>
      </c>
      <c r="C169" s="7"/>
      <c r="D169" s="207"/>
      <c r="E169" s="179"/>
      <c r="F169" s="179"/>
      <c r="G169" s="179"/>
      <c r="H169" s="179"/>
      <c r="I169" s="179"/>
      <c r="J169" s="235"/>
      <c r="K169" s="179"/>
    </row>
    <row r="170" spans="1:11" ht="15.75">
      <c r="A170" s="206"/>
      <c r="B170" s="211" t="s">
        <v>73</v>
      </c>
      <c r="C170" s="7"/>
      <c r="D170" s="207"/>
      <c r="E170" s="179"/>
      <c r="F170" s="179"/>
      <c r="G170" s="179"/>
      <c r="H170" s="179"/>
      <c r="I170" s="179"/>
      <c r="J170" s="235"/>
      <c r="K170" s="179"/>
    </row>
    <row r="171" spans="1:11" ht="15.75">
      <c r="A171" s="206"/>
      <c r="B171" s="211" t="s">
        <v>74</v>
      </c>
      <c r="C171" s="7"/>
      <c r="D171" s="207"/>
      <c r="E171" s="179"/>
      <c r="F171" s="179"/>
      <c r="G171" s="179"/>
      <c r="H171" s="179"/>
      <c r="I171" s="179"/>
      <c r="J171" s="235"/>
      <c r="K171" s="179"/>
    </row>
    <row r="172" spans="1:11" ht="15.75">
      <c r="A172" s="270"/>
      <c r="B172" s="271" t="s">
        <v>290</v>
      </c>
      <c r="C172" s="262"/>
      <c r="D172" s="91" t="s">
        <v>126</v>
      </c>
      <c r="E172" s="179">
        <v>35</v>
      </c>
      <c r="F172" s="179">
        <v>15</v>
      </c>
      <c r="G172" s="179">
        <v>20</v>
      </c>
      <c r="H172" s="179"/>
      <c r="I172" s="202"/>
      <c r="J172" s="236">
        <v>50</v>
      </c>
      <c r="K172" s="179"/>
    </row>
    <row r="173" spans="1:11">
      <c r="A173" s="87"/>
      <c r="B173" s="272" t="s">
        <v>171</v>
      </c>
      <c r="C173" s="273"/>
      <c r="D173" s="273">
        <v>10</v>
      </c>
      <c r="E173" s="87">
        <v>15</v>
      </c>
      <c r="F173" s="87">
        <v>15</v>
      </c>
      <c r="G173" s="87"/>
      <c r="H173" s="87"/>
      <c r="I173" s="87"/>
      <c r="J173" s="87">
        <v>25</v>
      </c>
      <c r="K173" s="87"/>
    </row>
    <row r="174" spans="1:11">
      <c r="A174" s="666" t="s">
        <v>271</v>
      </c>
      <c r="B174" s="667"/>
      <c r="C174" s="667"/>
      <c r="D174" s="667"/>
      <c r="E174" s="667"/>
      <c r="F174" s="667"/>
      <c r="G174" s="667"/>
      <c r="H174" s="667"/>
      <c r="I174" s="667"/>
      <c r="J174" s="667"/>
      <c r="K174" s="668"/>
    </row>
    <row r="175" spans="1:11" ht="15.75">
      <c r="A175" s="68"/>
      <c r="B175" s="70"/>
      <c r="C175" s="7"/>
      <c r="D175" s="80"/>
      <c r="E175" s="179"/>
      <c r="F175" s="179"/>
      <c r="G175" s="179"/>
      <c r="H175" s="179"/>
      <c r="I175" s="172"/>
      <c r="J175" s="236"/>
      <c r="K175" s="180"/>
    </row>
    <row r="176" spans="1:11" ht="15.75">
      <c r="A176" s="68"/>
      <c r="B176" s="70"/>
      <c r="C176" s="7"/>
      <c r="D176" s="80"/>
      <c r="E176" s="179"/>
      <c r="F176" s="179"/>
      <c r="G176" s="179"/>
      <c r="H176" s="179"/>
      <c r="I176" s="172"/>
      <c r="J176" s="236"/>
      <c r="K176" s="180"/>
    </row>
    <row r="177" spans="1:11" s="97" customFormat="1">
      <c r="A177" s="605" t="s">
        <v>27</v>
      </c>
      <c r="B177" s="606"/>
      <c r="C177" s="606"/>
      <c r="D177" s="606"/>
      <c r="E177" s="606"/>
      <c r="F177" s="606"/>
      <c r="G177" s="606"/>
      <c r="H177" s="606"/>
      <c r="I177" s="606"/>
      <c r="J177" s="606"/>
      <c r="K177" s="607"/>
    </row>
    <row r="178" spans="1:11" ht="15.75">
      <c r="A178" s="175">
        <v>7.1</v>
      </c>
      <c r="B178" s="96" t="s">
        <v>75</v>
      </c>
      <c r="C178" s="66" t="str">
        <f>"0912-7LEK-C"&amp;A178&amp;"-"&amp;UPPER(LEFT(B178,1))</f>
        <v>0912-7LEK-C7.1-H</v>
      </c>
      <c r="D178" s="94" t="s">
        <v>239</v>
      </c>
      <c r="E178" s="95">
        <v>15</v>
      </c>
      <c r="F178" s="95">
        <v>15</v>
      </c>
      <c r="G178" s="95">
        <v>0</v>
      </c>
      <c r="H178" s="95">
        <v>0</v>
      </c>
      <c r="I178" s="95">
        <v>0</v>
      </c>
      <c r="J178" s="238">
        <v>25</v>
      </c>
      <c r="K178" s="95">
        <v>1</v>
      </c>
    </row>
    <row r="179" spans="1:11" ht="15.75">
      <c r="A179" s="3">
        <v>7.2</v>
      </c>
      <c r="B179" s="73" t="s">
        <v>76</v>
      </c>
      <c r="C179" s="7" t="str">
        <f>"0912-7LEK-C"&amp;A179&amp;"-"&amp;UPPER(LEFT(B179,1))</f>
        <v>0912-7LEK-C7.2-E</v>
      </c>
      <c r="D179" s="80" t="s">
        <v>239</v>
      </c>
      <c r="E179" s="81">
        <v>15</v>
      </c>
      <c r="F179" s="81">
        <v>15</v>
      </c>
      <c r="G179" s="81">
        <v>0</v>
      </c>
      <c r="H179" s="81">
        <v>0</v>
      </c>
      <c r="I179" s="81">
        <v>0</v>
      </c>
      <c r="J179" s="239">
        <v>25</v>
      </c>
      <c r="K179" s="81">
        <v>1</v>
      </c>
    </row>
    <row r="180" spans="1:11" ht="15.75">
      <c r="A180" s="3">
        <v>7.3</v>
      </c>
      <c r="B180" s="73" t="s">
        <v>77</v>
      </c>
      <c r="C180" s="7" t="str">
        <f>"0912-7LEK-C"&amp;A180&amp;"-"&amp;UPPER(LEFT(B180,1))</f>
        <v>0912-7LEK-C7.3-Z</v>
      </c>
      <c r="D180" s="80" t="s">
        <v>140</v>
      </c>
      <c r="E180" s="81">
        <v>15</v>
      </c>
      <c r="F180" s="81">
        <v>15</v>
      </c>
      <c r="G180" s="81">
        <v>0</v>
      </c>
      <c r="H180" s="81">
        <v>0</v>
      </c>
      <c r="I180" s="81">
        <v>0</v>
      </c>
      <c r="J180" s="239">
        <v>25</v>
      </c>
      <c r="K180" s="81">
        <v>1</v>
      </c>
    </row>
    <row r="181" spans="1:11" ht="15.75">
      <c r="A181" s="3">
        <v>7.4</v>
      </c>
      <c r="B181" s="73" t="s">
        <v>78</v>
      </c>
      <c r="C181" s="7" t="str">
        <f>"0912-7LEK-C"&amp;A181&amp;"-"&amp;UPPER(LEFT(B181,1))</f>
        <v>0912-7LEK-C7.4-P</v>
      </c>
      <c r="D181" s="80" t="s">
        <v>126</v>
      </c>
      <c r="E181" s="81">
        <v>15</v>
      </c>
      <c r="F181" s="81">
        <v>15</v>
      </c>
      <c r="G181" s="81">
        <v>0</v>
      </c>
      <c r="H181" s="81">
        <v>0</v>
      </c>
      <c r="I181" s="81">
        <v>0</v>
      </c>
      <c r="J181" s="239">
        <v>25</v>
      </c>
      <c r="K181" s="81">
        <v>1</v>
      </c>
    </row>
    <row r="182" spans="1:11" ht="15.75">
      <c r="A182" s="3">
        <v>7.5</v>
      </c>
      <c r="B182" s="73" t="s">
        <v>79</v>
      </c>
      <c r="C182" s="7" t="str">
        <f>"0912-7LEK-C"&amp;A182&amp;"-"&amp;UPPER(LEFT(B182,1))</f>
        <v>0912-7LEK-C7.5-M</v>
      </c>
      <c r="D182" s="80">
        <v>10</v>
      </c>
      <c r="E182" s="81">
        <v>45</v>
      </c>
      <c r="F182" s="81">
        <v>10</v>
      </c>
      <c r="G182" s="81">
        <v>15</v>
      </c>
      <c r="H182" s="81">
        <v>20</v>
      </c>
      <c r="I182" s="81">
        <v>0</v>
      </c>
      <c r="J182" s="239">
        <v>55</v>
      </c>
      <c r="K182" s="81">
        <v>2</v>
      </c>
    </row>
    <row r="183" spans="1:11">
      <c r="A183" s="612" t="s">
        <v>9</v>
      </c>
      <c r="B183" s="613"/>
      <c r="C183" s="613"/>
      <c r="D183" s="614"/>
      <c r="E183" s="92">
        <f>SUM(E178:E182)</f>
        <v>105</v>
      </c>
      <c r="F183" s="92">
        <f t="shared" ref="F183:K183" si="8">SUM(F178:F182)</f>
        <v>70</v>
      </c>
      <c r="G183" s="92">
        <f t="shared" si="8"/>
        <v>15</v>
      </c>
      <c r="H183" s="92">
        <f t="shared" si="8"/>
        <v>20</v>
      </c>
      <c r="I183" s="92">
        <f t="shared" si="8"/>
        <v>0</v>
      </c>
      <c r="J183" s="235">
        <f t="shared" si="8"/>
        <v>155</v>
      </c>
      <c r="K183" s="92">
        <f t="shared" si="8"/>
        <v>6</v>
      </c>
    </row>
    <row r="184" spans="1:11">
      <c r="A184" s="87"/>
      <c r="B184" s="221"/>
      <c r="C184" s="221"/>
      <c r="D184" s="221"/>
      <c r="E184" s="222"/>
      <c r="F184" s="222"/>
      <c r="G184" s="222"/>
      <c r="H184" s="222"/>
      <c r="I184" s="222"/>
      <c r="J184" s="239"/>
      <c r="K184" s="222"/>
    </row>
    <row r="185" spans="1:11">
      <c r="A185" s="221"/>
      <c r="B185" s="223" t="s">
        <v>267</v>
      </c>
      <c r="C185" s="221"/>
      <c r="D185" s="221"/>
      <c r="E185" s="222"/>
      <c r="F185" s="222"/>
      <c r="G185" s="222"/>
      <c r="H185" s="222"/>
      <c r="I185" s="222"/>
      <c r="J185" s="239"/>
      <c r="K185" s="222"/>
    </row>
    <row r="186" spans="1:11">
      <c r="A186" s="224"/>
      <c r="B186" s="225"/>
      <c r="C186" s="226"/>
      <c r="D186" s="226"/>
      <c r="E186" s="227"/>
      <c r="F186" s="227"/>
      <c r="G186" s="227"/>
      <c r="H186" s="227"/>
      <c r="I186" s="227"/>
      <c r="J186" s="243"/>
      <c r="K186" s="228"/>
    </row>
    <row r="187" spans="1:11">
      <c r="A187" s="224"/>
      <c r="B187" s="225"/>
      <c r="C187" s="226"/>
      <c r="D187" s="226"/>
      <c r="E187" s="227"/>
      <c r="F187" s="227"/>
      <c r="G187" s="227"/>
      <c r="H187" s="227"/>
      <c r="I187" s="227"/>
      <c r="J187" s="243"/>
      <c r="K187" s="228"/>
    </row>
    <row r="188" spans="1:11">
      <c r="A188" s="605" t="s">
        <v>28</v>
      </c>
      <c r="B188" s="606"/>
      <c r="C188" s="606"/>
      <c r="D188" s="606"/>
      <c r="E188" s="606"/>
      <c r="F188" s="606"/>
      <c r="G188" s="606"/>
      <c r="H188" s="606"/>
      <c r="I188" s="606"/>
      <c r="J188" s="606"/>
      <c r="K188" s="607"/>
    </row>
    <row r="189" spans="1:11" ht="15.75">
      <c r="A189" s="175">
        <v>8.1</v>
      </c>
      <c r="B189" s="96" t="s">
        <v>80</v>
      </c>
      <c r="C189" s="66" t="str">
        <f>"0912-7LEK-C"&amp;A189&amp;"-"&amp;UPPER(LEFT(B189,1))</f>
        <v>0912-7LEK-C8.1-C</v>
      </c>
      <c r="D189" s="94" t="s">
        <v>130</v>
      </c>
      <c r="E189" s="95">
        <v>240</v>
      </c>
      <c r="F189" s="95">
        <v>0</v>
      </c>
      <c r="G189" s="95">
        <v>0</v>
      </c>
      <c r="H189" s="95">
        <v>240</v>
      </c>
      <c r="I189" s="95">
        <v>0</v>
      </c>
      <c r="J189" s="238">
        <v>400</v>
      </c>
      <c r="K189" s="95">
        <v>16</v>
      </c>
    </row>
    <row r="190" spans="1:11" ht="15.75">
      <c r="A190" s="3">
        <v>8.1999999999999993</v>
      </c>
      <c r="B190" s="73" t="s">
        <v>51</v>
      </c>
      <c r="C190" s="7" t="str">
        <f t="shared" ref="C190:C196" si="9">"0912-7LEK-C"&amp;A190&amp;"-"&amp;UPPER(LEFT(B190,1))</f>
        <v>0912-7LEK-C8.2-P</v>
      </c>
      <c r="D190" s="80" t="s">
        <v>130</v>
      </c>
      <c r="E190" s="81">
        <v>120</v>
      </c>
      <c r="F190" s="81">
        <v>0</v>
      </c>
      <c r="G190" s="81">
        <v>0</v>
      </c>
      <c r="H190" s="81">
        <v>120</v>
      </c>
      <c r="I190" s="81">
        <v>0</v>
      </c>
      <c r="J190" s="239">
        <v>200</v>
      </c>
      <c r="K190" s="81">
        <v>8</v>
      </c>
    </row>
    <row r="191" spans="1:11" ht="15.75">
      <c r="A191" s="3">
        <v>8.3000000000000007</v>
      </c>
      <c r="B191" s="73" t="s">
        <v>81</v>
      </c>
      <c r="C191" s="7" t="str">
        <f t="shared" si="9"/>
        <v>0912-7LEK-C8.3-C</v>
      </c>
      <c r="D191" s="80" t="s">
        <v>246</v>
      </c>
      <c r="E191" s="81">
        <v>120</v>
      </c>
      <c r="F191" s="81">
        <v>0</v>
      </c>
      <c r="G191" s="81">
        <v>0</v>
      </c>
      <c r="H191" s="81">
        <v>120</v>
      </c>
      <c r="I191" s="81">
        <v>0</v>
      </c>
      <c r="J191" s="239">
        <v>200</v>
      </c>
      <c r="K191" s="81">
        <v>8</v>
      </c>
    </row>
    <row r="192" spans="1:11" ht="15.75">
      <c r="A192" s="3">
        <v>8.4</v>
      </c>
      <c r="B192" s="73" t="s">
        <v>70</v>
      </c>
      <c r="C192" s="7" t="str">
        <f t="shared" si="9"/>
        <v>0912-7LEK-C8.4-G</v>
      </c>
      <c r="D192" s="80" t="s">
        <v>131</v>
      </c>
      <c r="E192" s="81">
        <v>60</v>
      </c>
      <c r="F192" s="81">
        <v>0</v>
      </c>
      <c r="G192" s="81">
        <v>0</v>
      </c>
      <c r="H192" s="81">
        <v>60</v>
      </c>
      <c r="I192" s="81">
        <v>0</v>
      </c>
      <c r="J192" s="239">
        <v>100</v>
      </c>
      <c r="K192" s="81">
        <v>4</v>
      </c>
    </row>
    <row r="193" spans="1:11" ht="15.75">
      <c r="A193" s="3">
        <v>8.5</v>
      </c>
      <c r="B193" s="73" t="s">
        <v>54</v>
      </c>
      <c r="C193" s="7" t="str">
        <f t="shared" si="9"/>
        <v>0912-7LEK-C8.5-P</v>
      </c>
      <c r="D193" s="80" t="s">
        <v>131</v>
      </c>
      <c r="E193" s="81">
        <v>60</v>
      </c>
      <c r="F193" s="81">
        <v>0</v>
      </c>
      <c r="G193" s="81">
        <v>0</v>
      </c>
      <c r="H193" s="81">
        <v>60</v>
      </c>
      <c r="I193" s="81">
        <v>0</v>
      </c>
      <c r="J193" s="239">
        <v>100</v>
      </c>
      <c r="K193" s="81">
        <v>4</v>
      </c>
    </row>
    <row r="194" spans="1:11" ht="15.75">
      <c r="A194" s="3">
        <v>8.6</v>
      </c>
      <c r="B194" s="73" t="s">
        <v>82</v>
      </c>
      <c r="C194" s="7" t="str">
        <f>"0912-7LEK-C"&amp;A194&amp;"-"&amp;UPPER(LEFT(B194,1))&amp;"R"</f>
        <v>0912-7LEK-C8.6-MR</v>
      </c>
      <c r="D194" s="80" t="s">
        <v>131</v>
      </c>
      <c r="E194" s="81">
        <v>60</v>
      </c>
      <c r="F194" s="81">
        <v>0</v>
      </c>
      <c r="G194" s="81">
        <v>0</v>
      </c>
      <c r="H194" s="81">
        <v>60</v>
      </c>
      <c r="I194" s="81">
        <v>0</v>
      </c>
      <c r="J194" s="239">
        <v>100</v>
      </c>
      <c r="K194" s="81">
        <v>4</v>
      </c>
    </row>
    <row r="195" spans="1:11" ht="15.75">
      <c r="A195" s="3">
        <v>8.6999999999999993</v>
      </c>
      <c r="B195" s="73" t="s">
        <v>56</v>
      </c>
      <c r="C195" s="7" t="str">
        <f t="shared" si="9"/>
        <v>0912-7LEK-C8.7-M</v>
      </c>
      <c r="D195" s="80" t="s">
        <v>131</v>
      </c>
      <c r="E195" s="81">
        <v>60</v>
      </c>
      <c r="F195" s="81">
        <v>0</v>
      </c>
      <c r="G195" s="81">
        <v>0</v>
      </c>
      <c r="H195" s="81">
        <v>60</v>
      </c>
      <c r="I195" s="81">
        <v>0</v>
      </c>
      <c r="J195" s="239">
        <v>100</v>
      </c>
      <c r="K195" s="81">
        <v>4</v>
      </c>
    </row>
    <row r="196" spans="1:11" ht="15.75">
      <c r="A196" s="3">
        <v>8.8000000000000007</v>
      </c>
      <c r="B196" s="73" t="s">
        <v>33</v>
      </c>
      <c r="C196" s="7" t="str">
        <f t="shared" si="9"/>
        <v>0912-7LEK-C8.8-S</v>
      </c>
      <c r="D196" s="80" t="s">
        <v>131</v>
      </c>
      <c r="E196" s="81">
        <v>180</v>
      </c>
      <c r="F196" s="81">
        <v>0</v>
      </c>
      <c r="G196" s="81">
        <v>0</v>
      </c>
      <c r="H196" s="81">
        <v>180</v>
      </c>
      <c r="I196" s="81">
        <v>0</v>
      </c>
      <c r="J196" s="239">
        <v>300</v>
      </c>
      <c r="K196" s="81">
        <v>12</v>
      </c>
    </row>
    <row r="197" spans="1:11">
      <c r="A197" s="612" t="s">
        <v>9</v>
      </c>
      <c r="B197" s="613"/>
      <c r="C197" s="613"/>
      <c r="D197" s="614"/>
      <c r="E197" s="92">
        <f>SUM(E189:E196)</f>
        <v>900</v>
      </c>
      <c r="F197" s="92">
        <f t="shared" ref="F197:K197" si="10">SUM(F189:F196)</f>
        <v>0</v>
      </c>
      <c r="G197" s="92">
        <f t="shared" si="10"/>
        <v>0</v>
      </c>
      <c r="H197" s="92">
        <f t="shared" si="10"/>
        <v>900</v>
      </c>
      <c r="I197" s="92">
        <f t="shared" si="10"/>
        <v>0</v>
      </c>
      <c r="J197" s="235">
        <f t="shared" si="10"/>
        <v>1500</v>
      </c>
      <c r="K197" s="92">
        <f t="shared" si="10"/>
        <v>60</v>
      </c>
    </row>
    <row r="198" spans="1:11">
      <c r="A198" s="605" t="s">
        <v>29</v>
      </c>
      <c r="B198" s="606"/>
      <c r="C198" s="606"/>
      <c r="D198" s="606"/>
      <c r="E198" s="606"/>
      <c r="F198" s="606"/>
      <c r="G198" s="606"/>
      <c r="H198" s="606"/>
      <c r="I198" s="606"/>
      <c r="J198" s="606"/>
      <c r="K198" s="607"/>
    </row>
    <row r="199" spans="1:11" ht="15.75">
      <c r="A199" s="175">
        <v>9.1</v>
      </c>
      <c r="B199" s="96" t="s">
        <v>83</v>
      </c>
      <c r="C199" s="66" t="str">
        <f t="shared" ref="C199:C206" si="11">"0912-7LEK-C"&amp;A199&amp;"-"&amp;UPPER(LEFT(B199,1))</f>
        <v>0912-7LEK-C9.1-O</v>
      </c>
      <c r="D199" s="94" t="s">
        <v>238</v>
      </c>
      <c r="E199" s="95">
        <v>120</v>
      </c>
      <c r="F199" s="95">
        <v>0</v>
      </c>
      <c r="G199" s="95">
        <v>0</v>
      </c>
      <c r="H199" s="101">
        <v>120</v>
      </c>
      <c r="I199" s="95">
        <v>0</v>
      </c>
      <c r="J199" s="238">
        <v>120</v>
      </c>
      <c r="K199" s="95">
        <v>4</v>
      </c>
    </row>
    <row r="200" spans="1:11" ht="15.75">
      <c r="A200" s="3">
        <v>9.1999999999999993</v>
      </c>
      <c r="B200" s="73" t="s">
        <v>84</v>
      </c>
      <c r="C200" s="7" t="str">
        <f t="shared" si="11"/>
        <v>0912-7LEK-C9.2-L</v>
      </c>
      <c r="D200" s="80" t="s">
        <v>140</v>
      </c>
      <c r="E200" s="81">
        <v>90</v>
      </c>
      <c r="F200" s="81">
        <v>0</v>
      </c>
      <c r="G200" s="81">
        <v>0</v>
      </c>
      <c r="H200" s="87">
        <v>90</v>
      </c>
      <c r="I200" s="81">
        <v>0</v>
      </c>
      <c r="J200" s="239">
        <v>90</v>
      </c>
      <c r="K200" s="81">
        <v>3</v>
      </c>
    </row>
    <row r="201" spans="1:11" ht="15.75">
      <c r="A201" s="3">
        <v>9.3000000000000007</v>
      </c>
      <c r="B201" s="73" t="s">
        <v>85</v>
      </c>
      <c r="C201" s="7" t="str">
        <f t="shared" si="11"/>
        <v>0912-7LEK-C9.3-P</v>
      </c>
      <c r="D201" s="80" t="s">
        <v>140</v>
      </c>
      <c r="E201" s="81">
        <v>30</v>
      </c>
      <c r="F201" s="81">
        <v>0</v>
      </c>
      <c r="G201" s="81">
        <v>0</v>
      </c>
      <c r="H201" s="87">
        <v>30</v>
      </c>
      <c r="I201" s="81">
        <v>0</v>
      </c>
      <c r="J201" s="239">
        <v>30</v>
      </c>
      <c r="K201" s="81">
        <v>1</v>
      </c>
    </row>
    <row r="202" spans="1:11" ht="15.75">
      <c r="A202" s="3">
        <v>9.4</v>
      </c>
      <c r="B202" s="73" t="s">
        <v>80</v>
      </c>
      <c r="C202" s="7" t="str">
        <f t="shared" si="11"/>
        <v>0912-7LEK-C9.4-C</v>
      </c>
      <c r="D202" s="80" t="s">
        <v>143</v>
      </c>
      <c r="E202" s="81">
        <v>120</v>
      </c>
      <c r="F202" s="81">
        <v>0</v>
      </c>
      <c r="G202" s="81">
        <v>0</v>
      </c>
      <c r="H202" s="87">
        <v>120</v>
      </c>
      <c r="I202" s="81">
        <v>0</v>
      </c>
      <c r="J202" s="239">
        <v>120</v>
      </c>
      <c r="K202" s="81">
        <v>4</v>
      </c>
    </row>
    <row r="203" spans="1:11" ht="15.75">
      <c r="A203" s="3">
        <v>9.5</v>
      </c>
      <c r="B203" s="73" t="s">
        <v>86</v>
      </c>
      <c r="C203" s="7" t="str">
        <f t="shared" si="11"/>
        <v>0912-7LEK-C9.5-I</v>
      </c>
      <c r="D203" s="80" t="s">
        <v>141</v>
      </c>
      <c r="E203" s="81">
        <v>60</v>
      </c>
      <c r="F203" s="81">
        <v>0</v>
      </c>
      <c r="G203" s="81">
        <v>0</v>
      </c>
      <c r="H203" s="87">
        <v>60</v>
      </c>
      <c r="I203" s="81">
        <v>0</v>
      </c>
      <c r="J203" s="239">
        <v>60</v>
      </c>
      <c r="K203" s="81">
        <v>2</v>
      </c>
    </row>
    <row r="204" spans="1:11" ht="15.75">
      <c r="A204" s="3">
        <v>9.6</v>
      </c>
      <c r="B204" s="73" t="s">
        <v>51</v>
      </c>
      <c r="C204" s="7" t="str">
        <f t="shared" si="11"/>
        <v>0912-7LEK-C9.6-P</v>
      </c>
      <c r="D204" s="80" t="s">
        <v>141</v>
      </c>
      <c r="E204" s="81">
        <v>60</v>
      </c>
      <c r="F204" s="81">
        <v>0</v>
      </c>
      <c r="G204" s="81">
        <v>0</v>
      </c>
      <c r="H204" s="87">
        <v>60</v>
      </c>
      <c r="I204" s="81">
        <v>0</v>
      </c>
      <c r="J204" s="239">
        <v>60</v>
      </c>
      <c r="K204" s="81">
        <v>2</v>
      </c>
    </row>
    <row r="205" spans="1:11" ht="15.75">
      <c r="A205" s="3">
        <v>9.6999999999999993</v>
      </c>
      <c r="B205" s="73" t="s">
        <v>81</v>
      </c>
      <c r="C205" s="7" t="str">
        <f t="shared" si="11"/>
        <v>0912-7LEK-C9.7-C</v>
      </c>
      <c r="D205" s="80" t="s">
        <v>129</v>
      </c>
      <c r="E205" s="81">
        <v>60</v>
      </c>
      <c r="F205" s="81">
        <v>0</v>
      </c>
      <c r="G205" s="81">
        <v>0</v>
      </c>
      <c r="H205" s="87">
        <v>60</v>
      </c>
      <c r="I205" s="81">
        <v>0</v>
      </c>
      <c r="J205" s="239">
        <v>60</v>
      </c>
      <c r="K205" s="81">
        <v>2</v>
      </c>
    </row>
    <row r="206" spans="1:11" ht="15.75">
      <c r="A206" s="3">
        <v>9.8000000000000007</v>
      </c>
      <c r="B206" s="73" t="s">
        <v>70</v>
      </c>
      <c r="C206" s="7" t="str">
        <f t="shared" si="11"/>
        <v>0912-7LEK-C9.8-G</v>
      </c>
      <c r="D206" s="80" t="s">
        <v>129</v>
      </c>
      <c r="E206" s="81">
        <v>60</v>
      </c>
      <c r="F206" s="81">
        <v>0</v>
      </c>
      <c r="G206" s="81">
        <v>0</v>
      </c>
      <c r="H206" s="87">
        <v>60</v>
      </c>
      <c r="I206" s="81">
        <v>0</v>
      </c>
      <c r="J206" s="239">
        <v>60</v>
      </c>
      <c r="K206" s="81">
        <v>2</v>
      </c>
    </row>
    <row r="207" spans="1:11">
      <c r="A207" s="618" t="s">
        <v>9</v>
      </c>
      <c r="B207" s="618"/>
      <c r="C207" s="132"/>
      <c r="D207" s="82"/>
      <c r="E207" s="85">
        <f>SUM(E199:E206)</f>
        <v>600</v>
      </c>
      <c r="F207" s="85">
        <f t="shared" ref="F207:K207" si="12">SUM(F199:F206)</f>
        <v>0</v>
      </c>
      <c r="G207" s="85">
        <f t="shared" si="12"/>
        <v>0</v>
      </c>
      <c r="H207" s="85">
        <f t="shared" si="12"/>
        <v>600</v>
      </c>
      <c r="I207" s="85">
        <f t="shared" si="12"/>
        <v>0</v>
      </c>
      <c r="J207" s="239">
        <f t="shared" si="12"/>
        <v>600</v>
      </c>
      <c r="K207" s="85">
        <f t="shared" si="12"/>
        <v>20</v>
      </c>
    </row>
    <row r="208" spans="1:11">
      <c r="A208" s="605" t="s">
        <v>31</v>
      </c>
      <c r="B208" s="606"/>
      <c r="C208" s="606"/>
      <c r="D208" s="606"/>
      <c r="E208" s="606"/>
      <c r="F208" s="606"/>
      <c r="G208" s="606"/>
      <c r="H208" s="606"/>
      <c r="I208" s="606"/>
      <c r="J208" s="606"/>
      <c r="K208" s="607"/>
    </row>
    <row r="209" spans="1:17" ht="15.75">
      <c r="A209" s="3">
        <v>10.1</v>
      </c>
      <c r="B209" s="73" t="s">
        <v>17</v>
      </c>
      <c r="C209" s="7" t="str">
        <f>"0912-7LEK-A"&amp;A209&amp;"-"&amp;UPPER(LEFT(B209,1))&amp;"A"</f>
        <v>0912-7LEK-A10.1-JA</v>
      </c>
      <c r="D209" s="80" t="s">
        <v>235</v>
      </c>
      <c r="E209" s="81">
        <v>120</v>
      </c>
      <c r="F209" s="81">
        <v>0</v>
      </c>
      <c r="G209" s="81">
        <v>120</v>
      </c>
      <c r="H209" s="81">
        <v>0</v>
      </c>
      <c r="I209" s="81">
        <v>0</v>
      </c>
      <c r="J209" s="239">
        <v>180</v>
      </c>
      <c r="K209" s="81">
        <v>6</v>
      </c>
    </row>
    <row r="210" spans="1:17" ht="15.75">
      <c r="A210" s="3">
        <v>10.199999999999999</v>
      </c>
      <c r="B210" s="73" t="s">
        <v>203</v>
      </c>
      <c r="C210" s="7" t="str">
        <f>"0912-7LEK-A"&amp;A210&amp;"-"&amp;UPPER(LEFT(B210,1))&amp;"O"</f>
        <v>0912-7LEK-A10.2-JO</v>
      </c>
      <c r="D210" s="80" t="s">
        <v>236</v>
      </c>
      <c r="E210" s="81">
        <v>50</v>
      </c>
      <c r="F210" s="81">
        <v>0</v>
      </c>
      <c r="G210" s="81">
        <v>50</v>
      </c>
      <c r="H210" s="81">
        <v>0</v>
      </c>
      <c r="I210" s="81">
        <v>0</v>
      </c>
      <c r="J210" s="239">
        <v>60</v>
      </c>
      <c r="K210" s="81">
        <v>2</v>
      </c>
    </row>
    <row r="211" spans="1:17" ht="15.75">
      <c r="A211" s="3">
        <v>10.3</v>
      </c>
      <c r="B211" s="73" t="s">
        <v>19</v>
      </c>
      <c r="C211" s="7" t="str">
        <f>"0912-7LEK-A"&amp;A211&amp;"-"&amp;UPPER(LEFT(B211,1))&amp;"Ł"</f>
        <v>0912-7LEK-A10.3-JŁ</v>
      </c>
      <c r="D211" s="80" t="s">
        <v>237</v>
      </c>
      <c r="E211" s="81">
        <v>30</v>
      </c>
      <c r="F211" s="81">
        <v>0</v>
      </c>
      <c r="G211" s="81">
        <v>30</v>
      </c>
      <c r="H211" s="81">
        <v>0</v>
      </c>
      <c r="I211" s="81">
        <v>0</v>
      </c>
      <c r="J211" s="239">
        <v>30</v>
      </c>
      <c r="K211" s="81">
        <v>1</v>
      </c>
    </row>
    <row r="212" spans="1:17" ht="18.75" customHeight="1">
      <c r="A212" s="3">
        <v>10.4</v>
      </c>
      <c r="B212" s="73" t="s">
        <v>87</v>
      </c>
      <c r="C212" s="7" t="str">
        <f>"0912-7LEK-A"&amp;A212&amp;"-"&amp;UPPER(LEFT(B212,1))&amp;"B"</f>
        <v>0912-7LEK-A10.4-PB</v>
      </c>
      <c r="D212" s="80" t="s">
        <v>237</v>
      </c>
      <c r="E212" s="81">
        <v>2</v>
      </c>
      <c r="F212" s="81">
        <v>0</v>
      </c>
      <c r="G212" s="81">
        <v>2</v>
      </c>
      <c r="H212" s="81">
        <v>0</v>
      </c>
      <c r="I212" s="81">
        <v>0</v>
      </c>
      <c r="J212" s="239">
        <v>2</v>
      </c>
      <c r="K212" s="81">
        <v>0</v>
      </c>
    </row>
    <row r="213" spans="1:17" ht="15.75" customHeight="1">
      <c r="A213" s="3">
        <v>10.5</v>
      </c>
      <c r="B213" s="73" t="s">
        <v>30</v>
      </c>
      <c r="C213" s="7" t="str">
        <f>"0912-7LEK-A"&amp;A213&amp;"-"&amp;UPPER(LEFT(B213,1))&amp;"HP"</f>
        <v>0912-7LEK-A10.5-BHP</v>
      </c>
      <c r="D213" s="80" t="s">
        <v>238</v>
      </c>
      <c r="E213" s="81">
        <v>5</v>
      </c>
      <c r="F213" s="81">
        <v>5</v>
      </c>
      <c r="G213" s="81">
        <v>0</v>
      </c>
      <c r="H213" s="81">
        <v>0</v>
      </c>
      <c r="I213" s="81">
        <v>0</v>
      </c>
      <c r="J213" s="239">
        <v>5</v>
      </c>
      <c r="K213" s="81">
        <v>0</v>
      </c>
    </row>
    <row r="214" spans="1:17" ht="18.75" customHeight="1">
      <c r="A214" s="3">
        <v>10.6</v>
      </c>
      <c r="B214" s="73" t="s">
        <v>108</v>
      </c>
      <c r="C214" s="7" t="str">
        <f>"0912-7LEK-A"&amp;A214&amp;"-"&amp;UPPER(LEFT(B214,1))&amp;"F"</f>
        <v>0912-7LEK-A10.6-WF</v>
      </c>
      <c r="D214" s="80" t="s">
        <v>121</v>
      </c>
      <c r="E214" s="81">
        <v>180</v>
      </c>
      <c r="F214" s="81">
        <v>0</v>
      </c>
      <c r="G214" s="81">
        <v>180</v>
      </c>
      <c r="H214" s="81">
        <v>0</v>
      </c>
      <c r="I214" s="81">
        <v>0</v>
      </c>
      <c r="J214" s="239">
        <v>180</v>
      </c>
      <c r="K214" s="81">
        <v>0</v>
      </c>
    </row>
    <row r="215" spans="1:17">
      <c r="A215" s="625">
        <v>10.7</v>
      </c>
      <c r="B215" s="619" t="s">
        <v>120</v>
      </c>
      <c r="C215" s="620"/>
      <c r="D215" s="80" t="s">
        <v>239</v>
      </c>
      <c r="E215" s="81">
        <v>30</v>
      </c>
      <c r="F215" s="81">
        <v>0</v>
      </c>
      <c r="G215" s="81">
        <v>30</v>
      </c>
      <c r="H215" s="81">
        <v>0</v>
      </c>
      <c r="I215" s="81">
        <v>0</v>
      </c>
      <c r="J215" s="239">
        <v>60</v>
      </c>
      <c r="K215" s="81">
        <v>2</v>
      </c>
    </row>
    <row r="216" spans="1:17">
      <c r="A216" s="626"/>
      <c r="B216" s="621"/>
      <c r="C216" s="622"/>
      <c r="D216" s="80" t="s">
        <v>140</v>
      </c>
      <c r="E216" s="81">
        <v>30</v>
      </c>
      <c r="F216" s="81">
        <v>0</v>
      </c>
      <c r="G216" s="81">
        <v>30</v>
      </c>
      <c r="H216" s="81">
        <v>0</v>
      </c>
      <c r="I216" s="81">
        <v>0</v>
      </c>
      <c r="J216" s="239">
        <v>60</v>
      </c>
      <c r="K216" s="81">
        <v>2</v>
      </c>
    </row>
    <row r="217" spans="1:17">
      <c r="A217" s="618" t="s">
        <v>9</v>
      </c>
      <c r="B217" s="618"/>
      <c r="C217" s="132"/>
      <c r="D217" s="82"/>
      <c r="E217" s="85">
        <f t="shared" ref="E217:J217" si="13">SUM(E209:E214)</f>
        <v>387</v>
      </c>
      <c r="F217" s="85">
        <f t="shared" si="13"/>
        <v>5</v>
      </c>
      <c r="G217" s="85">
        <f t="shared" si="13"/>
        <v>382</v>
      </c>
      <c r="H217" s="85">
        <f t="shared" si="13"/>
        <v>0</v>
      </c>
      <c r="I217" s="85">
        <f t="shared" si="13"/>
        <v>0</v>
      </c>
      <c r="J217" s="239">
        <f t="shared" si="13"/>
        <v>457</v>
      </c>
      <c r="K217" s="85">
        <f>SUM(K209:K216)</f>
        <v>13</v>
      </c>
    </row>
    <row r="218" spans="1:17">
      <c r="A218" s="605" t="s">
        <v>234</v>
      </c>
      <c r="B218" s="606"/>
      <c r="C218" s="606"/>
      <c r="D218" s="606"/>
      <c r="E218" s="606"/>
      <c r="F218" s="606"/>
      <c r="G218" s="606"/>
      <c r="H218" s="606"/>
      <c r="I218" s="606"/>
      <c r="J218" s="606"/>
      <c r="K218" s="607"/>
    </row>
    <row r="219" spans="1:17" ht="15.75">
      <c r="A219" s="122">
        <v>1</v>
      </c>
      <c r="B219" s="79" t="s">
        <v>116</v>
      </c>
      <c r="C219" s="7"/>
      <c r="D219" s="80" t="s">
        <v>237</v>
      </c>
      <c r="E219" s="81">
        <v>15</v>
      </c>
      <c r="F219" s="81">
        <v>15</v>
      </c>
      <c r="G219" s="81">
        <v>0</v>
      </c>
      <c r="H219" s="81">
        <v>0</v>
      </c>
      <c r="I219" s="81">
        <v>0</v>
      </c>
      <c r="J219" s="239">
        <v>25</v>
      </c>
      <c r="K219" s="81">
        <v>1</v>
      </c>
      <c r="N219" s="670" t="s">
        <v>297</v>
      </c>
      <c r="O219" s="670"/>
      <c r="P219" s="670"/>
      <c r="Q219" s="670"/>
    </row>
    <row r="220" spans="1:17" ht="15.75">
      <c r="A220" s="122">
        <v>2</v>
      </c>
      <c r="B220" s="79" t="s">
        <v>116</v>
      </c>
      <c r="C220" s="7"/>
      <c r="D220" s="80" t="s">
        <v>237</v>
      </c>
      <c r="E220" s="81">
        <v>15</v>
      </c>
      <c r="F220" s="81">
        <v>15</v>
      </c>
      <c r="G220" s="81">
        <v>0</v>
      </c>
      <c r="H220" s="81">
        <v>0</v>
      </c>
      <c r="I220" s="81">
        <v>0</v>
      </c>
      <c r="J220" s="239">
        <v>25</v>
      </c>
      <c r="K220" s="81">
        <v>1</v>
      </c>
    </row>
    <row r="221" spans="1:17" ht="15.75">
      <c r="A221" s="122">
        <v>3</v>
      </c>
      <c r="B221" s="79" t="s">
        <v>116</v>
      </c>
      <c r="C221" s="7"/>
      <c r="D221" s="80" t="s">
        <v>238</v>
      </c>
      <c r="E221" s="81">
        <v>15</v>
      </c>
      <c r="F221" s="81">
        <v>15</v>
      </c>
      <c r="G221" s="81">
        <v>0</v>
      </c>
      <c r="H221" s="81">
        <v>0</v>
      </c>
      <c r="I221" s="81">
        <v>0</v>
      </c>
      <c r="J221" s="239">
        <v>25</v>
      </c>
      <c r="K221" s="81">
        <v>1</v>
      </c>
      <c r="N221" s="669" t="s">
        <v>294</v>
      </c>
      <c r="O221" s="669"/>
      <c r="P221" s="669"/>
      <c r="Q221" s="669"/>
    </row>
    <row r="222" spans="1:17" ht="15.75">
      <c r="A222" s="122">
        <v>4</v>
      </c>
      <c r="B222" s="79" t="s">
        <v>116</v>
      </c>
      <c r="C222" s="7"/>
      <c r="D222" s="80" t="s">
        <v>238</v>
      </c>
      <c r="E222" s="81">
        <v>15</v>
      </c>
      <c r="F222" s="81">
        <v>15</v>
      </c>
      <c r="G222" s="81">
        <v>0</v>
      </c>
      <c r="H222" s="81">
        <v>0</v>
      </c>
      <c r="I222" s="81">
        <v>0</v>
      </c>
      <c r="J222" s="239">
        <v>25</v>
      </c>
      <c r="K222" s="81">
        <v>1</v>
      </c>
    </row>
    <row r="223" spans="1:17" ht="15.75">
      <c r="A223" s="122">
        <v>5</v>
      </c>
      <c r="B223" s="79" t="s">
        <v>116</v>
      </c>
      <c r="C223" s="7"/>
      <c r="D223" s="80" t="s">
        <v>239</v>
      </c>
      <c r="E223" s="81">
        <v>15</v>
      </c>
      <c r="F223" s="81">
        <v>15</v>
      </c>
      <c r="G223" s="81">
        <v>0</v>
      </c>
      <c r="H223" s="81">
        <v>0</v>
      </c>
      <c r="I223" s="81">
        <v>0</v>
      </c>
      <c r="J223" s="239">
        <v>25</v>
      </c>
      <c r="K223" s="81">
        <v>1</v>
      </c>
      <c r="N223" s="133" t="s">
        <v>296</v>
      </c>
      <c r="O223" s="133"/>
      <c r="P223" s="133"/>
      <c r="Q223" s="133"/>
    </row>
    <row r="224" spans="1:17" ht="78.75" customHeight="1">
      <c r="A224" s="122">
        <v>6</v>
      </c>
      <c r="B224" s="79" t="s">
        <v>116</v>
      </c>
      <c r="C224" s="7"/>
      <c r="D224" s="80" t="s">
        <v>239</v>
      </c>
      <c r="E224" s="81">
        <v>15</v>
      </c>
      <c r="F224" s="81">
        <v>15</v>
      </c>
      <c r="G224" s="81">
        <v>0</v>
      </c>
      <c r="H224" s="81">
        <v>0</v>
      </c>
      <c r="I224" s="81">
        <v>0</v>
      </c>
      <c r="J224" s="239">
        <v>25</v>
      </c>
      <c r="K224" s="81">
        <v>1</v>
      </c>
    </row>
    <row r="225" spans="1:15" ht="63" customHeight="1">
      <c r="A225" s="122">
        <v>7</v>
      </c>
      <c r="B225" s="79" t="s">
        <v>116</v>
      </c>
      <c r="C225" s="7"/>
      <c r="D225" s="80" t="s">
        <v>239</v>
      </c>
      <c r="E225" s="81">
        <v>15</v>
      </c>
      <c r="F225" s="81">
        <v>15</v>
      </c>
      <c r="G225" s="81">
        <v>0</v>
      </c>
      <c r="H225" s="81">
        <v>0</v>
      </c>
      <c r="I225" s="81">
        <v>0</v>
      </c>
      <c r="J225" s="239">
        <v>25</v>
      </c>
      <c r="K225" s="81">
        <v>1</v>
      </c>
    </row>
    <row r="226" spans="1:15" ht="15.75">
      <c r="A226" s="122">
        <v>8</v>
      </c>
      <c r="B226" s="79" t="s">
        <v>116</v>
      </c>
      <c r="C226" s="7"/>
      <c r="D226" s="80" t="s">
        <v>140</v>
      </c>
      <c r="E226" s="81">
        <v>15</v>
      </c>
      <c r="F226" s="81">
        <v>15</v>
      </c>
      <c r="G226" s="81">
        <v>0</v>
      </c>
      <c r="H226" s="81">
        <v>0</v>
      </c>
      <c r="I226" s="81">
        <v>0</v>
      </c>
      <c r="J226" s="239">
        <v>25</v>
      </c>
      <c r="K226" s="81">
        <v>1</v>
      </c>
      <c r="N226" s="201" t="s">
        <v>181</v>
      </c>
    </row>
    <row r="227" spans="1:15" ht="15.75">
      <c r="A227" s="122">
        <v>9</v>
      </c>
      <c r="B227" s="79" t="s">
        <v>116</v>
      </c>
      <c r="C227" s="7"/>
      <c r="D227" s="80" t="s">
        <v>140</v>
      </c>
      <c r="E227" s="81">
        <v>15</v>
      </c>
      <c r="F227" s="81">
        <v>15</v>
      </c>
      <c r="G227" s="81">
        <v>0</v>
      </c>
      <c r="H227" s="81">
        <v>0</v>
      </c>
      <c r="I227" s="81">
        <v>0</v>
      </c>
      <c r="J227" s="239">
        <v>25</v>
      </c>
      <c r="K227" s="81">
        <v>1</v>
      </c>
      <c r="N227" s="84" t="s">
        <v>298</v>
      </c>
    </row>
    <row r="228" spans="1:15" ht="15.75">
      <c r="A228" s="122">
        <v>10</v>
      </c>
      <c r="B228" s="79" t="s">
        <v>116</v>
      </c>
      <c r="C228" s="7"/>
      <c r="D228" s="80" t="s">
        <v>140</v>
      </c>
      <c r="E228" s="81">
        <v>15</v>
      </c>
      <c r="F228" s="81">
        <v>15</v>
      </c>
      <c r="G228" s="81">
        <v>0</v>
      </c>
      <c r="H228" s="81">
        <v>0</v>
      </c>
      <c r="I228" s="81">
        <v>0</v>
      </c>
      <c r="J228" s="239">
        <v>25</v>
      </c>
      <c r="K228" s="81">
        <v>1</v>
      </c>
    </row>
    <row r="229" spans="1:15" ht="15.75">
      <c r="A229" s="122">
        <v>11</v>
      </c>
      <c r="B229" s="79" t="s">
        <v>116</v>
      </c>
      <c r="C229" s="7"/>
      <c r="D229" s="80" t="s">
        <v>142</v>
      </c>
      <c r="E229" s="81">
        <v>15</v>
      </c>
      <c r="F229" s="81">
        <v>15</v>
      </c>
      <c r="G229" s="81">
        <v>0</v>
      </c>
      <c r="H229" s="81">
        <v>0</v>
      </c>
      <c r="I229" s="81">
        <v>0</v>
      </c>
      <c r="J229" s="239">
        <v>25</v>
      </c>
      <c r="K229" s="81">
        <v>1</v>
      </c>
      <c r="M229" s="97"/>
      <c r="N229" s="275"/>
      <c r="O229" s="97"/>
    </row>
    <row r="230" spans="1:15" ht="15.75">
      <c r="A230" s="122">
        <v>12</v>
      </c>
      <c r="B230" s="79" t="s">
        <v>116</v>
      </c>
      <c r="C230" s="7"/>
      <c r="D230" s="80" t="s">
        <v>142</v>
      </c>
      <c r="E230" s="81">
        <v>15</v>
      </c>
      <c r="F230" s="81">
        <v>15</v>
      </c>
      <c r="G230" s="81">
        <v>0</v>
      </c>
      <c r="H230" s="81">
        <v>0</v>
      </c>
      <c r="I230" s="81">
        <v>0</v>
      </c>
      <c r="J230" s="239">
        <v>25</v>
      </c>
      <c r="K230" s="81">
        <v>1</v>
      </c>
      <c r="N230" s="84" t="s">
        <v>171</v>
      </c>
    </row>
    <row r="231" spans="1:15" ht="15.75">
      <c r="A231" s="122">
        <v>13</v>
      </c>
      <c r="B231" s="79" t="s">
        <v>116</v>
      </c>
      <c r="C231" s="7"/>
      <c r="D231" s="80" t="s">
        <v>142</v>
      </c>
      <c r="E231" s="81">
        <v>15</v>
      </c>
      <c r="F231" s="81">
        <v>15</v>
      </c>
      <c r="G231" s="81">
        <v>0</v>
      </c>
      <c r="H231" s="81">
        <v>0</v>
      </c>
      <c r="I231" s="81">
        <v>0</v>
      </c>
      <c r="J231" s="239">
        <v>25</v>
      </c>
      <c r="K231" s="81">
        <v>1</v>
      </c>
    </row>
    <row r="232" spans="1:15" ht="15.75">
      <c r="A232" s="122">
        <v>14</v>
      </c>
      <c r="B232" s="79" t="s">
        <v>116</v>
      </c>
      <c r="C232" s="7"/>
      <c r="D232" s="80" t="s">
        <v>143</v>
      </c>
      <c r="E232" s="81">
        <v>15</v>
      </c>
      <c r="F232" s="81">
        <v>15</v>
      </c>
      <c r="G232" s="81">
        <v>0</v>
      </c>
      <c r="H232" s="81">
        <v>0</v>
      </c>
      <c r="I232" s="81">
        <v>0</v>
      </c>
      <c r="J232" s="239">
        <v>25</v>
      </c>
      <c r="K232" s="81">
        <v>1</v>
      </c>
    </row>
    <row r="233" spans="1:15" ht="15.75">
      <c r="A233" s="122">
        <v>15</v>
      </c>
      <c r="B233" s="79" t="s">
        <v>116</v>
      </c>
      <c r="C233" s="7"/>
      <c r="D233" s="80" t="s">
        <v>143</v>
      </c>
      <c r="E233" s="81">
        <v>15</v>
      </c>
      <c r="F233" s="81">
        <v>15</v>
      </c>
      <c r="G233" s="81">
        <v>0</v>
      </c>
      <c r="H233" s="81">
        <v>0</v>
      </c>
      <c r="I233" s="81">
        <v>0</v>
      </c>
      <c r="J233" s="239">
        <v>25</v>
      </c>
      <c r="K233" s="81">
        <v>1</v>
      </c>
    </row>
    <row r="234" spans="1:15" ht="15.75">
      <c r="A234" s="122">
        <v>16</v>
      </c>
      <c r="B234" s="79" t="s">
        <v>116</v>
      </c>
      <c r="C234" s="7"/>
      <c r="D234" s="80" t="s">
        <v>144</v>
      </c>
      <c r="E234" s="81">
        <v>15</v>
      </c>
      <c r="F234" s="81">
        <v>15</v>
      </c>
      <c r="G234" s="81">
        <v>0</v>
      </c>
      <c r="H234" s="81">
        <v>0</v>
      </c>
      <c r="I234" s="81">
        <v>0</v>
      </c>
      <c r="J234" s="239">
        <v>25</v>
      </c>
      <c r="K234" s="81">
        <v>1</v>
      </c>
    </row>
    <row r="235" spans="1:15" ht="15.75">
      <c r="A235" s="122">
        <v>17</v>
      </c>
      <c r="B235" s="79" t="s">
        <v>116</v>
      </c>
      <c r="C235" s="7"/>
      <c r="D235" s="80" t="s">
        <v>144</v>
      </c>
      <c r="E235" s="81">
        <v>15</v>
      </c>
      <c r="F235" s="81">
        <v>15</v>
      </c>
      <c r="G235" s="81">
        <v>0</v>
      </c>
      <c r="H235" s="81">
        <v>0</v>
      </c>
      <c r="I235" s="81">
        <v>0</v>
      </c>
      <c r="J235" s="239">
        <v>25</v>
      </c>
      <c r="K235" s="81">
        <v>1</v>
      </c>
    </row>
    <row r="236" spans="1:15" ht="15.75">
      <c r="A236" s="122">
        <v>18</v>
      </c>
      <c r="B236" s="79" t="s">
        <v>116</v>
      </c>
      <c r="C236" s="7"/>
      <c r="D236" s="80" t="s">
        <v>141</v>
      </c>
      <c r="E236" s="81">
        <v>15</v>
      </c>
      <c r="F236" s="81">
        <v>15</v>
      </c>
      <c r="G236" s="81">
        <v>0</v>
      </c>
      <c r="H236" s="81">
        <v>0</v>
      </c>
      <c r="I236" s="81">
        <v>0</v>
      </c>
      <c r="J236" s="239">
        <v>25</v>
      </c>
      <c r="K236" s="81">
        <v>1</v>
      </c>
    </row>
    <row r="237" spans="1:15" ht="15.75">
      <c r="A237" s="122">
        <v>19</v>
      </c>
      <c r="B237" s="79" t="s">
        <v>116</v>
      </c>
      <c r="C237" s="7"/>
      <c r="D237" s="80" t="s">
        <v>141</v>
      </c>
      <c r="E237" s="81">
        <v>15</v>
      </c>
      <c r="F237" s="81">
        <v>15</v>
      </c>
      <c r="G237" s="81">
        <v>0</v>
      </c>
      <c r="H237" s="81">
        <v>0</v>
      </c>
      <c r="I237" s="81">
        <v>0</v>
      </c>
      <c r="J237" s="239">
        <v>25</v>
      </c>
      <c r="K237" s="81">
        <v>1</v>
      </c>
    </row>
    <row r="238" spans="1:15" ht="15.75">
      <c r="A238" s="122">
        <v>20</v>
      </c>
      <c r="B238" s="79" t="s">
        <v>116</v>
      </c>
      <c r="C238" s="7"/>
      <c r="D238" s="80" t="s">
        <v>141</v>
      </c>
      <c r="E238" s="81">
        <v>15</v>
      </c>
      <c r="F238" s="81">
        <v>15</v>
      </c>
      <c r="G238" s="81">
        <v>0</v>
      </c>
      <c r="H238" s="81">
        <v>0</v>
      </c>
      <c r="I238" s="81">
        <v>0</v>
      </c>
      <c r="J238" s="239">
        <v>25</v>
      </c>
      <c r="K238" s="81">
        <v>1</v>
      </c>
    </row>
    <row r="239" spans="1:15" ht="15.75">
      <c r="A239" s="122">
        <v>21</v>
      </c>
      <c r="B239" s="79" t="s">
        <v>116</v>
      </c>
      <c r="C239" s="7"/>
      <c r="D239" s="80" t="s">
        <v>141</v>
      </c>
      <c r="E239" s="81">
        <v>15</v>
      </c>
      <c r="F239" s="81">
        <v>15</v>
      </c>
      <c r="G239" s="81">
        <v>0</v>
      </c>
      <c r="H239" s="81">
        <v>0</v>
      </c>
      <c r="I239" s="81">
        <v>0</v>
      </c>
      <c r="J239" s="239">
        <v>25</v>
      </c>
      <c r="K239" s="81">
        <v>1</v>
      </c>
    </row>
    <row r="240" spans="1:15" ht="15.75">
      <c r="A240" s="122">
        <v>22</v>
      </c>
      <c r="B240" s="79" t="s">
        <v>116</v>
      </c>
      <c r="C240" s="7"/>
      <c r="D240" s="80" t="s">
        <v>126</v>
      </c>
      <c r="E240" s="81">
        <v>35</v>
      </c>
      <c r="F240" s="81">
        <v>15</v>
      </c>
      <c r="G240" s="81">
        <v>20</v>
      </c>
      <c r="H240" s="81">
        <v>0</v>
      </c>
      <c r="I240" s="81">
        <v>0</v>
      </c>
      <c r="J240" s="239">
        <v>50</v>
      </c>
      <c r="K240" s="81">
        <v>2</v>
      </c>
    </row>
    <row r="241" spans="1:12" ht="15.75">
      <c r="A241" s="122">
        <v>23</v>
      </c>
      <c r="B241" s="79" t="s">
        <v>116</v>
      </c>
      <c r="C241" s="7"/>
      <c r="D241" s="80" t="s">
        <v>126</v>
      </c>
      <c r="E241" s="81">
        <v>35</v>
      </c>
      <c r="F241" s="81">
        <v>15</v>
      </c>
      <c r="G241" s="81">
        <v>20</v>
      </c>
      <c r="H241" s="81">
        <v>0</v>
      </c>
      <c r="I241" s="81">
        <v>0</v>
      </c>
      <c r="J241" s="239">
        <v>50</v>
      </c>
      <c r="K241" s="81">
        <v>2</v>
      </c>
    </row>
    <row r="242" spans="1:12" ht="15.75">
      <c r="A242" s="122">
        <v>24</v>
      </c>
      <c r="B242" s="79" t="s">
        <v>116</v>
      </c>
      <c r="C242" s="7"/>
      <c r="D242" s="80" t="s">
        <v>126</v>
      </c>
      <c r="E242" s="81">
        <v>35</v>
      </c>
      <c r="F242" s="81">
        <v>15</v>
      </c>
      <c r="G242" s="81">
        <v>20</v>
      </c>
      <c r="H242" s="81">
        <v>0</v>
      </c>
      <c r="I242" s="81">
        <v>0</v>
      </c>
      <c r="J242" s="239">
        <v>50</v>
      </c>
      <c r="K242" s="81">
        <v>2</v>
      </c>
    </row>
    <row r="243" spans="1:12" ht="15.75">
      <c r="A243" s="122">
        <v>25</v>
      </c>
      <c r="B243" s="79" t="s">
        <v>116</v>
      </c>
      <c r="C243" s="7"/>
      <c r="D243" s="80" t="s">
        <v>126</v>
      </c>
      <c r="E243" s="81">
        <v>35</v>
      </c>
      <c r="F243" s="81">
        <v>15</v>
      </c>
      <c r="G243" s="81">
        <v>20</v>
      </c>
      <c r="H243" s="81">
        <v>0</v>
      </c>
      <c r="I243" s="81">
        <v>0</v>
      </c>
      <c r="J243" s="239">
        <v>50</v>
      </c>
      <c r="K243" s="81">
        <v>2</v>
      </c>
    </row>
    <row r="244" spans="1:12" ht="15.75">
      <c r="A244" s="122">
        <v>26</v>
      </c>
      <c r="B244" s="79" t="s">
        <v>116</v>
      </c>
      <c r="C244" s="7"/>
      <c r="D244" s="80" t="s">
        <v>126</v>
      </c>
      <c r="E244" s="81">
        <v>15</v>
      </c>
      <c r="F244" s="81">
        <v>15</v>
      </c>
      <c r="G244" s="81">
        <v>0</v>
      </c>
      <c r="H244" s="81">
        <v>0</v>
      </c>
      <c r="I244" s="81">
        <v>0</v>
      </c>
      <c r="J244" s="239">
        <v>25</v>
      </c>
      <c r="K244" s="81">
        <v>1</v>
      </c>
    </row>
    <row r="245" spans="1:12" ht="15.75">
      <c r="A245" s="122">
        <v>27</v>
      </c>
      <c r="B245" s="79" t="s">
        <v>116</v>
      </c>
      <c r="C245" s="7"/>
      <c r="D245" s="80" t="s">
        <v>126</v>
      </c>
      <c r="E245" s="81">
        <v>15</v>
      </c>
      <c r="F245" s="81">
        <v>15</v>
      </c>
      <c r="G245" s="81">
        <v>0</v>
      </c>
      <c r="H245" s="81">
        <v>0</v>
      </c>
      <c r="I245" s="81">
        <v>0</v>
      </c>
      <c r="J245" s="239">
        <v>25</v>
      </c>
      <c r="K245" s="81">
        <v>1</v>
      </c>
    </row>
    <row r="246" spans="1:12" ht="15.75">
      <c r="A246" s="122">
        <v>28</v>
      </c>
      <c r="B246" s="79" t="s">
        <v>116</v>
      </c>
      <c r="C246" s="7"/>
      <c r="D246" s="80" t="s">
        <v>129</v>
      </c>
      <c r="E246" s="81">
        <v>15</v>
      </c>
      <c r="F246" s="81">
        <v>15</v>
      </c>
      <c r="G246" s="81">
        <v>0</v>
      </c>
      <c r="H246" s="81">
        <v>0</v>
      </c>
      <c r="I246" s="81">
        <v>0</v>
      </c>
      <c r="J246" s="239">
        <v>25</v>
      </c>
      <c r="K246" s="81">
        <v>1</v>
      </c>
    </row>
    <row r="247" spans="1:12" ht="15.75">
      <c r="A247" s="122">
        <v>29</v>
      </c>
      <c r="B247" s="79" t="s">
        <v>116</v>
      </c>
      <c r="C247" s="7"/>
      <c r="D247" s="80" t="s">
        <v>129</v>
      </c>
      <c r="E247" s="81">
        <v>15</v>
      </c>
      <c r="F247" s="81">
        <v>15</v>
      </c>
      <c r="G247" s="81">
        <v>0</v>
      </c>
      <c r="H247" s="81">
        <v>0</v>
      </c>
      <c r="I247" s="81">
        <v>0</v>
      </c>
      <c r="J247" s="239">
        <v>25</v>
      </c>
      <c r="K247" s="81">
        <v>1</v>
      </c>
    </row>
    <row r="248" spans="1:12" ht="48" customHeight="1">
      <c r="A248" s="122">
        <v>30</v>
      </c>
      <c r="B248" s="623" t="s">
        <v>262</v>
      </c>
      <c r="C248" s="624"/>
      <c r="D248" s="80" t="s">
        <v>249</v>
      </c>
      <c r="E248" s="81">
        <v>135</v>
      </c>
      <c r="F248" s="81">
        <v>0</v>
      </c>
      <c r="G248" s="81">
        <v>135</v>
      </c>
      <c r="H248" s="81">
        <v>0</v>
      </c>
      <c r="I248" s="81">
        <v>0</v>
      </c>
      <c r="J248" s="239">
        <v>225</v>
      </c>
      <c r="K248" s="81">
        <v>9</v>
      </c>
    </row>
    <row r="249" spans="1:12">
      <c r="A249" s="615" t="s">
        <v>9</v>
      </c>
      <c r="B249" s="616"/>
      <c r="C249" s="616"/>
      <c r="D249" s="617"/>
      <c r="E249" s="85">
        <f t="shared" ref="E249:K249" si="14">SUM(E219:E248)</f>
        <v>650</v>
      </c>
      <c r="F249" s="85">
        <f t="shared" si="14"/>
        <v>435</v>
      </c>
      <c r="G249" s="85">
        <f t="shared" si="14"/>
        <v>215</v>
      </c>
      <c r="H249" s="85">
        <f t="shared" si="14"/>
        <v>0</v>
      </c>
      <c r="I249" s="85">
        <f t="shared" si="14"/>
        <v>0</v>
      </c>
      <c r="J249" s="239">
        <f t="shared" si="14"/>
        <v>1050</v>
      </c>
      <c r="K249" s="88">
        <f t="shared" si="14"/>
        <v>42</v>
      </c>
      <c r="L249" s="89"/>
    </row>
    <row r="250" spans="1:12" ht="26.25" customHeight="1">
      <c r="A250" s="609" t="s">
        <v>233</v>
      </c>
      <c r="B250" s="610"/>
      <c r="C250" s="610"/>
      <c r="D250" s="611"/>
      <c r="E250" s="147">
        <f t="shared" ref="E250:K250" si="15">SUM(E8,E29,E54,E83,E102,E151,E183,E197,E207,E217,E249,)</f>
        <v>6042</v>
      </c>
      <c r="F250" s="147">
        <f t="shared" si="15"/>
        <v>1660</v>
      </c>
      <c r="G250" s="147">
        <f t="shared" si="15"/>
        <v>1817</v>
      </c>
      <c r="H250" s="147">
        <f t="shared" si="15"/>
        <v>2335</v>
      </c>
      <c r="I250" s="147">
        <f t="shared" si="15"/>
        <v>230</v>
      </c>
      <c r="J250" s="244">
        <f t="shared" si="15"/>
        <v>9397</v>
      </c>
      <c r="K250" s="147">
        <f t="shared" si="15"/>
        <v>368</v>
      </c>
    </row>
    <row r="258" spans="3:3">
      <c r="C258" s="144" t="s">
        <v>123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125" customWidth="1"/>
    <col min="2" max="2" width="3" style="102" bestFit="1" customWidth="1"/>
    <col min="3" max="3" width="58.42578125" style="97" customWidth="1"/>
    <col min="4" max="4" width="21.7109375" style="97" bestFit="1" customWidth="1"/>
    <col min="5" max="5" width="6.140625" style="102" customWidth="1"/>
    <col min="6" max="6" width="6.140625" style="121" customWidth="1"/>
    <col min="7" max="7" width="6.140625" style="102" customWidth="1"/>
    <col min="8" max="25" width="5.140625" style="102" customWidth="1"/>
    <col min="26" max="26" width="7" style="102" customWidth="1"/>
    <col min="27" max="30" width="6.140625" style="102" customWidth="1"/>
    <col min="31" max="31" width="9.140625" style="102" customWidth="1"/>
    <col min="32" max="32" width="7.140625" style="102" customWidth="1"/>
    <col min="33" max="16384" width="9.140625" style="97"/>
  </cols>
  <sheetData>
    <row r="1" spans="1:70" ht="76.5" customHeight="1" thickBot="1">
      <c r="A1" s="129"/>
      <c r="B1" s="162"/>
      <c r="C1" s="643" t="s">
        <v>266</v>
      </c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>
      <c r="B2" s="644"/>
      <c r="C2" s="645"/>
      <c r="D2" s="645"/>
      <c r="E2" s="645"/>
      <c r="F2" s="645"/>
      <c r="G2" s="646"/>
      <c r="H2" s="647" t="s">
        <v>103</v>
      </c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8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1:70" ht="13.5" customHeight="1">
      <c r="B3" s="649" t="s">
        <v>0</v>
      </c>
      <c r="C3" s="650" t="s">
        <v>4</v>
      </c>
      <c r="D3" s="650" t="s">
        <v>1</v>
      </c>
      <c r="E3" s="651" t="s">
        <v>8</v>
      </c>
      <c r="F3" s="651"/>
      <c r="G3" s="651"/>
      <c r="H3" s="652" t="s">
        <v>89</v>
      </c>
      <c r="I3" s="652"/>
      <c r="J3" s="652" t="s">
        <v>88</v>
      </c>
      <c r="K3" s="652"/>
      <c r="L3" s="652" t="s">
        <v>94</v>
      </c>
      <c r="M3" s="652"/>
      <c r="N3" s="652" t="s">
        <v>90</v>
      </c>
      <c r="O3" s="652"/>
      <c r="P3" s="657" t="s">
        <v>7</v>
      </c>
      <c r="Q3" s="659" t="s">
        <v>89</v>
      </c>
      <c r="R3" s="659"/>
      <c r="S3" s="659" t="s">
        <v>88</v>
      </c>
      <c r="T3" s="659"/>
      <c r="U3" s="659" t="s">
        <v>94</v>
      </c>
      <c r="V3" s="659"/>
      <c r="W3" s="659" t="s">
        <v>90</v>
      </c>
      <c r="X3" s="659"/>
      <c r="Y3" s="657" t="s">
        <v>7</v>
      </c>
      <c r="Z3" s="658" t="s">
        <v>5</v>
      </c>
      <c r="AA3" s="658" t="s">
        <v>89</v>
      </c>
      <c r="AB3" s="658" t="s">
        <v>88</v>
      </c>
      <c r="AC3" s="658" t="s">
        <v>94</v>
      </c>
      <c r="AD3" s="658" t="s">
        <v>90</v>
      </c>
      <c r="AE3" s="658" t="s">
        <v>14</v>
      </c>
      <c r="AF3" s="658" t="s">
        <v>6</v>
      </c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</row>
    <row r="4" spans="1:70" ht="13.5" customHeight="1">
      <c r="B4" s="649"/>
      <c r="C4" s="650"/>
      <c r="D4" s="650"/>
      <c r="E4" s="651"/>
      <c r="F4" s="651"/>
      <c r="G4" s="651"/>
      <c r="H4" s="652"/>
      <c r="I4" s="652"/>
      <c r="J4" s="652"/>
      <c r="K4" s="652"/>
      <c r="L4" s="652"/>
      <c r="M4" s="652"/>
      <c r="N4" s="652"/>
      <c r="O4" s="652"/>
      <c r="P4" s="657"/>
      <c r="Q4" s="659"/>
      <c r="R4" s="659"/>
      <c r="S4" s="659"/>
      <c r="T4" s="659"/>
      <c r="U4" s="659"/>
      <c r="V4" s="659"/>
      <c r="W4" s="659"/>
      <c r="X4" s="659"/>
      <c r="Y4" s="657"/>
      <c r="Z4" s="658"/>
      <c r="AA4" s="658"/>
      <c r="AB4" s="658"/>
      <c r="AC4" s="658"/>
      <c r="AD4" s="658"/>
      <c r="AE4" s="658"/>
      <c r="AF4" s="658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</row>
    <row r="5" spans="1:70" ht="18.75" customHeight="1">
      <c r="B5" s="649"/>
      <c r="C5" s="650"/>
      <c r="D5" s="650"/>
      <c r="E5" s="650" t="s">
        <v>2</v>
      </c>
      <c r="F5" s="650" t="s">
        <v>13</v>
      </c>
      <c r="G5" s="650" t="s">
        <v>12</v>
      </c>
      <c r="H5" s="652"/>
      <c r="I5" s="652"/>
      <c r="J5" s="652"/>
      <c r="K5" s="652"/>
      <c r="L5" s="652"/>
      <c r="M5" s="652"/>
      <c r="N5" s="652"/>
      <c r="O5" s="652"/>
      <c r="P5" s="657"/>
      <c r="Q5" s="659"/>
      <c r="R5" s="659"/>
      <c r="S5" s="659"/>
      <c r="T5" s="659"/>
      <c r="U5" s="659"/>
      <c r="V5" s="659"/>
      <c r="W5" s="659"/>
      <c r="X5" s="659"/>
      <c r="Y5" s="657"/>
      <c r="Z5" s="658"/>
      <c r="AA5" s="658"/>
      <c r="AB5" s="658"/>
      <c r="AC5" s="658"/>
      <c r="AD5" s="658"/>
      <c r="AE5" s="658"/>
      <c r="AF5" s="658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</row>
    <row r="6" spans="1:70" ht="45.75" customHeight="1">
      <c r="B6" s="649"/>
      <c r="C6" s="650"/>
      <c r="D6" s="650"/>
      <c r="E6" s="650"/>
      <c r="F6" s="650"/>
      <c r="G6" s="650"/>
      <c r="H6" s="105" t="s">
        <v>15</v>
      </c>
      <c r="I6" s="105" t="s">
        <v>16</v>
      </c>
      <c r="J6" s="105" t="s">
        <v>15</v>
      </c>
      <c r="K6" s="105" t="s">
        <v>16</v>
      </c>
      <c r="L6" s="105" t="s">
        <v>15</v>
      </c>
      <c r="M6" s="105" t="s">
        <v>16</v>
      </c>
      <c r="N6" s="105" t="s">
        <v>15</v>
      </c>
      <c r="O6" s="105" t="s">
        <v>16</v>
      </c>
      <c r="P6" s="657"/>
      <c r="Q6" s="105" t="s">
        <v>15</v>
      </c>
      <c r="R6" s="105" t="s">
        <v>16</v>
      </c>
      <c r="S6" s="105" t="s">
        <v>15</v>
      </c>
      <c r="T6" s="105" t="s">
        <v>16</v>
      </c>
      <c r="U6" s="105" t="s">
        <v>15</v>
      </c>
      <c r="V6" s="105" t="s">
        <v>16</v>
      </c>
      <c r="W6" s="105" t="s">
        <v>15</v>
      </c>
      <c r="X6" s="105" t="s">
        <v>16</v>
      </c>
      <c r="Y6" s="657"/>
      <c r="Z6" s="658"/>
      <c r="AA6" s="658"/>
      <c r="AB6" s="658"/>
      <c r="AC6" s="658"/>
      <c r="AD6" s="658"/>
      <c r="AE6" s="658"/>
      <c r="AF6" s="658"/>
    </row>
    <row r="7" spans="1:70" ht="24.75" customHeight="1">
      <c r="A7" s="653" t="s">
        <v>109</v>
      </c>
      <c r="B7" s="654" t="str">
        <f>'I rok'!A43</f>
        <v>* Zajęcia fakultatywne (student w pierwszym semestrze wybiera 1 z 2, w drugim semestrze wybiera 1 z 2)</v>
      </c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  <c r="AC7" s="655"/>
      <c r="AD7" s="655"/>
      <c r="AE7" s="655"/>
      <c r="AF7" s="656"/>
    </row>
    <row r="8" spans="1:70" ht="24.75" customHeight="1">
      <c r="A8" s="653"/>
      <c r="B8" s="81">
        <v>1</v>
      </c>
      <c r="C8" s="107" t="s">
        <v>113</v>
      </c>
      <c r="D8" s="108" t="str">
        <f>"0912-7LEK-F-"&amp;B8&amp;"-"&amp;UPPER(LEFT(C8,1))&amp;"HKN"</f>
        <v>0912-7LEK-F-1-ZHKN</v>
      </c>
      <c r="E8" s="109"/>
      <c r="F8" s="110">
        <v>1</v>
      </c>
      <c r="G8" s="111"/>
      <c r="H8" s="112">
        <v>15</v>
      </c>
      <c r="I8" s="81">
        <v>10</v>
      </c>
      <c r="J8" s="81"/>
      <c r="K8" s="81"/>
      <c r="L8" s="81"/>
      <c r="M8" s="81"/>
      <c r="N8" s="81"/>
      <c r="O8" s="81"/>
      <c r="P8" s="111">
        <v>1</v>
      </c>
      <c r="Q8" s="112"/>
      <c r="R8" s="81"/>
      <c r="S8" s="81"/>
      <c r="T8" s="81"/>
      <c r="U8" s="81"/>
      <c r="V8" s="81"/>
      <c r="W8" s="81"/>
      <c r="X8" s="81"/>
      <c r="Y8" s="111"/>
      <c r="Z8" s="112">
        <f>SUM(H8,J8,L8,N8,Q8,S8,U8,W8)</f>
        <v>15</v>
      </c>
      <c r="AA8" s="81">
        <f>SUM(H8,Q8)</f>
        <v>15</v>
      </c>
      <c r="AB8" s="81"/>
      <c r="AC8" s="81"/>
      <c r="AD8" s="81"/>
      <c r="AE8" s="81">
        <f>SUM(H8:O8,Q8:X8)</f>
        <v>25</v>
      </c>
      <c r="AF8" s="81">
        <f>SUM(P8,Y8)</f>
        <v>1</v>
      </c>
    </row>
    <row r="9" spans="1:70" ht="24.75" customHeight="1">
      <c r="A9" s="653"/>
      <c r="B9" s="81" t="e">
        <f>'I rok'!#REF!</f>
        <v>#REF!</v>
      </c>
      <c r="C9" s="87" t="e">
        <f>'I rok'!#REF!</f>
        <v>#REF!</v>
      </c>
      <c r="D9" s="113" t="e">
        <f>'I rok'!#REF!</f>
        <v>#REF!</v>
      </c>
      <c r="E9" s="109"/>
      <c r="F9" s="110" t="e">
        <f>'I rok'!#REF!</f>
        <v>#REF!</v>
      </c>
      <c r="G9" s="111"/>
      <c r="H9" s="112" t="e">
        <f>'I rok'!#REF!</f>
        <v>#REF!</v>
      </c>
      <c r="I9" s="81" t="e">
        <f>'I rok'!#REF!</f>
        <v>#REF!</v>
      </c>
      <c r="J9" s="81"/>
      <c r="K9" s="81"/>
      <c r="L9" s="81"/>
      <c r="M9" s="81"/>
      <c r="N9" s="81"/>
      <c r="O9" s="81"/>
      <c r="P9" s="111" t="e">
        <f>'I rok'!#REF!</f>
        <v>#REF!</v>
      </c>
      <c r="Q9" s="112"/>
      <c r="R9" s="81"/>
      <c r="S9" s="81"/>
      <c r="T9" s="81"/>
      <c r="U9" s="81"/>
      <c r="V9" s="81"/>
      <c r="W9" s="81"/>
      <c r="X9" s="81"/>
      <c r="Y9" s="111"/>
      <c r="Z9" s="112" t="e">
        <f>'I rok'!#REF!</f>
        <v>#REF!</v>
      </c>
      <c r="AA9" s="81" t="e">
        <f>'I rok'!#REF!</f>
        <v>#REF!</v>
      </c>
      <c r="AB9" s="81"/>
      <c r="AC9" s="81"/>
      <c r="AD9" s="81"/>
      <c r="AE9" s="81" t="e">
        <f>'I rok'!#REF!</f>
        <v>#REF!</v>
      </c>
      <c r="AF9" s="81" t="e">
        <f>'I rok'!#REF!</f>
        <v>#REF!</v>
      </c>
    </row>
    <row r="10" spans="1:70" ht="24.75" customHeight="1">
      <c r="A10" s="653"/>
      <c r="B10" s="81">
        <v>3</v>
      </c>
      <c r="C10" s="87" t="str">
        <f>'III rok'!B53</f>
        <v>Aktywne składniki materii żywej</v>
      </c>
      <c r="D10" s="113" t="str">
        <f>'III rok'!C53</f>
        <v>0912-7LEK-F-24-ASMŻ</v>
      </c>
      <c r="E10" s="109"/>
      <c r="F10" s="110">
        <f>'III rok'!E53</f>
        <v>6</v>
      </c>
      <c r="G10" s="111"/>
      <c r="H10" s="112">
        <f>'III rok'!G53</f>
        <v>0</v>
      </c>
      <c r="I10" s="81">
        <f>'III rok'!H53</f>
        <v>0</v>
      </c>
      <c r="J10" s="81"/>
      <c r="K10" s="81"/>
      <c r="L10" s="81"/>
      <c r="M10" s="81"/>
      <c r="N10" s="81"/>
      <c r="O10" s="81"/>
      <c r="P10" s="111">
        <f>'III rok'!O53</f>
        <v>0</v>
      </c>
      <c r="Q10" s="112"/>
      <c r="R10" s="81"/>
      <c r="S10" s="81"/>
      <c r="T10" s="81"/>
      <c r="U10" s="81"/>
      <c r="V10" s="81"/>
      <c r="W10" s="81"/>
      <c r="X10" s="81"/>
      <c r="Y10" s="111"/>
      <c r="Z10" s="112">
        <f>'III rok'!Y53</f>
        <v>15</v>
      </c>
      <c r="AA10" s="81">
        <f>'III rok'!Z53</f>
        <v>15</v>
      </c>
      <c r="AB10" s="81"/>
      <c r="AC10" s="81"/>
      <c r="AD10" s="81"/>
      <c r="AE10" s="81">
        <f>'III rok'!AD53</f>
        <v>25</v>
      </c>
      <c r="AF10" s="81">
        <f>'III rok'!AE53</f>
        <v>1</v>
      </c>
    </row>
    <row r="11" spans="1:70" ht="24.75" customHeight="1">
      <c r="A11" s="653"/>
      <c r="B11" s="81">
        <v>4</v>
      </c>
      <c r="C11" s="87" t="str">
        <f>'I rok'!B46</f>
        <v>Struktury ciała ludzkiego w badaniach obrazowych</v>
      </c>
      <c r="D11" s="113" t="str">
        <f>'I rok'!C46</f>
        <v>0912-7LEK-F-3-SC</v>
      </c>
      <c r="E11" s="109"/>
      <c r="F11" s="110">
        <f>'I rok'!E46</f>
        <v>2</v>
      </c>
      <c r="G11" s="111"/>
      <c r="H11" s="112"/>
      <c r="I11" s="81"/>
      <c r="J11" s="81"/>
      <c r="K11" s="81"/>
      <c r="L11" s="81"/>
      <c r="M11" s="81"/>
      <c r="N11" s="81"/>
      <c r="O11" s="81"/>
      <c r="P11" s="111"/>
      <c r="Q11" s="112">
        <f>'I rok'!P46</f>
        <v>15</v>
      </c>
      <c r="R11" s="81">
        <f>'I rok'!Q46</f>
        <v>10</v>
      </c>
      <c r="S11" s="81"/>
      <c r="T11" s="81"/>
      <c r="U11" s="81"/>
      <c r="V11" s="81"/>
      <c r="W11" s="81"/>
      <c r="X11" s="81"/>
      <c r="Y11" s="111">
        <f>'I rok'!X46</f>
        <v>1</v>
      </c>
      <c r="Z11" s="112">
        <f>'I rok'!Y46</f>
        <v>15</v>
      </c>
      <c r="AA11" s="81">
        <f>'I rok'!Z46</f>
        <v>15</v>
      </c>
      <c r="AB11" s="81"/>
      <c r="AC11" s="81"/>
      <c r="AD11" s="81"/>
      <c r="AE11" s="81">
        <f>'I rok'!AD46</f>
        <v>25</v>
      </c>
      <c r="AF11" s="81">
        <f>'I rok'!AE46</f>
        <v>1</v>
      </c>
    </row>
    <row r="12" spans="1:70" ht="24.75" customHeight="1">
      <c r="A12" s="653"/>
      <c r="B12" s="81">
        <v>5</v>
      </c>
      <c r="C12" s="87" t="str">
        <f>'I rok'!B47</f>
        <v>Strukturalne podstawy interwencji sercowo-naczyniowych (w języku angielskim)</v>
      </c>
      <c r="D12" s="113" t="str">
        <f>'I rok'!C47</f>
        <v>0912-7LEK-F-4-SSP</v>
      </c>
      <c r="E12" s="109"/>
      <c r="F12" s="110">
        <f>'I rok'!E47</f>
        <v>2</v>
      </c>
      <c r="G12" s="111"/>
      <c r="H12" s="112"/>
      <c r="I12" s="81"/>
      <c r="J12" s="81"/>
      <c r="K12" s="81"/>
      <c r="L12" s="81"/>
      <c r="M12" s="81"/>
      <c r="N12" s="81"/>
      <c r="O12" s="81"/>
      <c r="P12" s="111"/>
      <c r="Q12" s="112">
        <f>'I rok'!P47</f>
        <v>15</v>
      </c>
      <c r="R12" s="81">
        <f>'I rok'!Q47</f>
        <v>10</v>
      </c>
      <c r="S12" s="81"/>
      <c r="T12" s="81"/>
      <c r="U12" s="81"/>
      <c r="V12" s="81"/>
      <c r="W12" s="81"/>
      <c r="X12" s="81"/>
      <c r="Y12" s="111">
        <f>'I rok'!X47</f>
        <v>1</v>
      </c>
      <c r="Z12" s="112">
        <f>'I rok'!Y47</f>
        <v>15</v>
      </c>
      <c r="AA12" s="81">
        <f>'I rok'!Z47</f>
        <v>15</v>
      </c>
      <c r="AB12" s="81"/>
      <c r="AC12" s="81"/>
      <c r="AD12" s="81"/>
      <c r="AE12" s="81">
        <f>'I rok'!AD47</f>
        <v>25</v>
      </c>
      <c r="AF12" s="81">
        <f>'I rok'!AE47</f>
        <v>1</v>
      </c>
    </row>
    <row r="13" spans="1:70" ht="24.75" customHeight="1">
      <c r="A13" s="653"/>
      <c r="B13" s="81">
        <v>6</v>
      </c>
      <c r="C13" s="87" t="str">
        <f>'III rok'!B47</f>
        <v>Nowoczesne techniki mikroskopowe w medycynie</v>
      </c>
      <c r="D13" s="113" t="str">
        <f>'III rok'!C47</f>
        <v>0912-7LEK-F-18-NT</v>
      </c>
      <c r="E13" s="109"/>
      <c r="F13" s="110">
        <f>'III rok'!E47</f>
        <v>5</v>
      </c>
      <c r="G13" s="111"/>
      <c r="H13" s="112"/>
      <c r="I13" s="81"/>
      <c r="J13" s="81"/>
      <c r="K13" s="81"/>
      <c r="L13" s="81"/>
      <c r="M13" s="81"/>
      <c r="N13" s="81"/>
      <c r="O13" s="81"/>
      <c r="P13" s="111"/>
      <c r="Q13" s="112">
        <f>'III rok'!P47</f>
        <v>0</v>
      </c>
      <c r="R13" s="81">
        <f>'III rok'!Q47</f>
        <v>0</v>
      </c>
      <c r="S13" s="81"/>
      <c r="T13" s="81"/>
      <c r="U13" s="81"/>
      <c r="V13" s="81"/>
      <c r="W13" s="81"/>
      <c r="X13" s="81"/>
      <c r="Y13" s="111">
        <f>'III rok'!X47</f>
        <v>0</v>
      </c>
      <c r="Z13" s="112">
        <f>'III rok'!Y47</f>
        <v>15</v>
      </c>
      <c r="AA13" s="81">
        <f>'III rok'!Z47</f>
        <v>0</v>
      </c>
      <c r="AB13" s="81"/>
      <c r="AC13" s="81"/>
      <c r="AD13" s="81"/>
      <c r="AE13" s="81">
        <f>'III rok'!AD47</f>
        <v>25</v>
      </c>
      <c r="AF13" s="81">
        <f>'III rok'!AE47</f>
        <v>1</v>
      </c>
    </row>
    <row r="14" spans="1:70" ht="24.75" customHeight="1">
      <c r="A14" s="653" t="s">
        <v>119</v>
      </c>
      <c r="B14" s="663" t="str">
        <f>'II rok'!A48</f>
        <v>* Zajęcia fakultatywne (student wybiera w 3 semestrze 3 z 5; w 4 semestrze 2 z 5)</v>
      </c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5"/>
    </row>
    <row r="15" spans="1:70" ht="24.75" customHeight="1">
      <c r="A15" s="653"/>
      <c r="B15" s="120" t="s">
        <v>144</v>
      </c>
      <c r="C15" s="114" t="str">
        <f>'II rok'!B50</f>
        <v>Praktyka medyczna oparta na dowodach naukowych (EBM)</v>
      </c>
      <c r="D15" s="115" t="str">
        <f>'II rok'!C50</f>
        <v>0912-7LEK-F-5-MOD</v>
      </c>
      <c r="E15" s="116"/>
      <c r="F15" s="117">
        <f>'II rok'!E50</f>
        <v>3</v>
      </c>
      <c r="G15" s="118"/>
      <c r="H15" s="119">
        <f>'II rok'!G50</f>
        <v>0</v>
      </c>
      <c r="I15" s="120">
        <f>'II rok'!H50</f>
        <v>0</v>
      </c>
      <c r="J15" s="120"/>
      <c r="K15" s="120"/>
      <c r="L15" s="120"/>
      <c r="M15" s="120"/>
      <c r="N15" s="120"/>
      <c r="O15" s="120"/>
      <c r="P15" s="118">
        <f>'II rok'!O50</f>
        <v>1</v>
      </c>
      <c r="Q15" s="119"/>
      <c r="R15" s="120"/>
      <c r="S15" s="120"/>
      <c r="T15" s="120"/>
      <c r="U15" s="120"/>
      <c r="V15" s="120"/>
      <c r="W15" s="120"/>
      <c r="X15" s="120"/>
      <c r="Y15" s="118"/>
      <c r="Z15" s="119">
        <f>'II rok'!Y50</f>
        <v>20</v>
      </c>
      <c r="AA15" s="120">
        <f>'II rok'!Z50</f>
        <v>0</v>
      </c>
      <c r="AB15" s="120"/>
      <c r="AC15" s="120"/>
      <c r="AD15" s="120"/>
      <c r="AE15" s="120">
        <f>'II rok'!AD50</f>
        <v>25</v>
      </c>
      <c r="AF15" s="120">
        <f>'II rok'!AE50</f>
        <v>1</v>
      </c>
    </row>
    <row r="16" spans="1:70" ht="24.75" customHeight="1">
      <c r="A16" s="653"/>
      <c r="B16" s="120" t="s">
        <v>141</v>
      </c>
      <c r="C16" s="114" t="str">
        <f>'II rok'!B51</f>
        <v>Żywność modyfikowana genetycznie</v>
      </c>
      <c r="D16" s="115" t="str">
        <f>'II rok'!C51</f>
        <v>0912-7LEK-F-6-ZMG</v>
      </c>
      <c r="E16" s="116"/>
      <c r="F16" s="117">
        <f>'II rok'!E51</f>
        <v>3</v>
      </c>
      <c r="G16" s="118"/>
      <c r="H16" s="119">
        <f>'II rok'!G51</f>
        <v>15</v>
      </c>
      <c r="I16" s="120">
        <f>'II rok'!H51</f>
        <v>10</v>
      </c>
      <c r="J16" s="120"/>
      <c r="K16" s="120"/>
      <c r="L16" s="120"/>
      <c r="M16" s="120"/>
      <c r="N16" s="120"/>
      <c r="O16" s="120"/>
      <c r="P16" s="118">
        <f>'II rok'!O51</f>
        <v>1</v>
      </c>
      <c r="Q16" s="119"/>
      <c r="R16" s="120"/>
      <c r="S16" s="120"/>
      <c r="T16" s="120"/>
      <c r="U16" s="120"/>
      <c r="V16" s="120"/>
      <c r="W16" s="120"/>
      <c r="X16" s="120"/>
      <c r="Y16" s="118"/>
      <c r="Z16" s="119">
        <f>'II rok'!Y51</f>
        <v>15</v>
      </c>
      <c r="AA16" s="120">
        <f>'II rok'!Z51</f>
        <v>15</v>
      </c>
      <c r="AB16" s="120"/>
      <c r="AC16" s="120"/>
      <c r="AD16" s="120"/>
      <c r="AE16" s="120">
        <f>'II rok'!AD51</f>
        <v>25</v>
      </c>
      <c r="AF16" s="120">
        <f>'II rok'!AE51</f>
        <v>1</v>
      </c>
    </row>
    <row r="17" spans="1:32" ht="24.75" customHeight="1">
      <c r="A17" s="653"/>
      <c r="B17" s="120" t="s">
        <v>126</v>
      </c>
      <c r="C17" s="276" t="str">
        <f>'II rok'!B52</f>
        <v xml:space="preserve">Racjonalna antybiotykoterapia </v>
      </c>
      <c r="D17" s="277" t="str">
        <f>'II rok'!C52</f>
        <v>0912-7LEK-F7-RA</v>
      </c>
      <c r="E17" s="278"/>
      <c r="F17" s="279">
        <f>'II rok'!E52</f>
        <v>3</v>
      </c>
      <c r="G17" s="118"/>
      <c r="H17" s="119">
        <f>'II rok'!G52</f>
        <v>15</v>
      </c>
      <c r="I17" s="120">
        <f>'II rok'!H52</f>
        <v>10</v>
      </c>
      <c r="J17" s="120"/>
      <c r="K17" s="120"/>
      <c r="L17" s="120"/>
      <c r="M17" s="120"/>
      <c r="N17" s="120"/>
      <c r="O17" s="120"/>
      <c r="P17" s="118">
        <f>'II rok'!O52</f>
        <v>1</v>
      </c>
      <c r="Q17" s="119"/>
      <c r="R17" s="120"/>
      <c r="S17" s="120"/>
      <c r="T17" s="120"/>
      <c r="U17" s="120"/>
      <c r="V17" s="120"/>
      <c r="W17" s="120"/>
      <c r="X17" s="120"/>
      <c r="Y17" s="118"/>
      <c r="Z17" s="119">
        <f>'II rok'!Y52</f>
        <v>15</v>
      </c>
      <c r="AA17" s="120">
        <f>'II rok'!Z52</f>
        <v>15</v>
      </c>
      <c r="AB17" s="120"/>
      <c r="AC17" s="120"/>
      <c r="AD17" s="120"/>
      <c r="AE17" s="120">
        <f>'II rok'!AD52</f>
        <v>25</v>
      </c>
      <c r="AF17" s="120">
        <f>'II rok'!AE52</f>
        <v>1</v>
      </c>
    </row>
    <row r="18" spans="1:32" ht="24.75" customHeight="1">
      <c r="A18" s="653"/>
      <c r="B18" s="120" t="s">
        <v>129</v>
      </c>
      <c r="C18" s="114" t="str">
        <f>'II rok'!B54</f>
        <v xml:space="preserve">Inżynieria genetyczna </v>
      </c>
      <c r="D18" s="115" t="str">
        <f>'II rok'!C54</f>
        <v>0912-7LEK-F9-IG</v>
      </c>
      <c r="E18" s="116"/>
      <c r="F18" s="117">
        <f>'II rok'!E54</f>
        <v>4</v>
      </c>
      <c r="G18" s="118"/>
      <c r="H18" s="119"/>
      <c r="I18" s="120"/>
      <c r="J18" s="120"/>
      <c r="K18" s="120"/>
      <c r="L18" s="120"/>
      <c r="M18" s="120"/>
      <c r="N18" s="120"/>
      <c r="O18" s="120"/>
      <c r="P18" s="118"/>
      <c r="Q18" s="119"/>
      <c r="R18" s="120"/>
      <c r="S18" s="120">
        <f>'II rok'!R54</f>
        <v>0</v>
      </c>
      <c r="T18" s="120">
        <f>'II rok'!S54</f>
        <v>0</v>
      </c>
      <c r="U18" s="120"/>
      <c r="V18" s="120"/>
      <c r="W18" s="120"/>
      <c r="X18" s="120"/>
      <c r="Y18" s="118">
        <f>'II rok'!X54</f>
        <v>1</v>
      </c>
      <c r="Z18" s="119">
        <f>'II rok'!Y54</f>
        <v>15</v>
      </c>
      <c r="AA18" s="120"/>
      <c r="AB18" s="120">
        <f>'II rok'!AA54</f>
        <v>0</v>
      </c>
      <c r="AC18" s="120"/>
      <c r="AD18" s="120"/>
      <c r="AE18" s="120">
        <f>'II rok'!AD54</f>
        <v>25</v>
      </c>
      <c r="AF18" s="120">
        <f>'II rok'!AE54</f>
        <v>1</v>
      </c>
    </row>
    <row r="19" spans="1:32" ht="24.75" customHeight="1">
      <c r="A19" s="653"/>
      <c r="B19" s="120" t="s">
        <v>130</v>
      </c>
      <c r="C19" s="114" t="str">
        <f>'II rok'!B55</f>
        <v>Elektrofizjologia</v>
      </c>
      <c r="D19" s="115" t="str">
        <f>'II rok'!C55</f>
        <v>0912-7LEK-F-10-Ef</v>
      </c>
      <c r="E19" s="116"/>
      <c r="F19" s="117">
        <f>'II rok'!E55</f>
        <v>4</v>
      </c>
      <c r="G19" s="118"/>
      <c r="H19" s="119"/>
      <c r="I19" s="120"/>
      <c r="J19" s="120"/>
      <c r="K19" s="120"/>
      <c r="L19" s="120"/>
      <c r="M19" s="120"/>
      <c r="N19" s="120"/>
      <c r="O19" s="120"/>
      <c r="P19" s="118"/>
      <c r="Q19" s="119">
        <f>'II rok'!P55</f>
        <v>0</v>
      </c>
      <c r="R19" s="120">
        <f>'II rok'!Q55</f>
        <v>0</v>
      </c>
      <c r="S19" s="120"/>
      <c r="T19" s="120"/>
      <c r="U19" s="120"/>
      <c r="V19" s="120"/>
      <c r="W19" s="120"/>
      <c r="X19" s="120"/>
      <c r="Y19" s="118">
        <f>'II rok'!X55</f>
        <v>1</v>
      </c>
      <c r="Z19" s="119">
        <f>'II rok'!Y55</f>
        <v>20</v>
      </c>
      <c r="AA19" s="120">
        <f>'II rok'!Z55</f>
        <v>0</v>
      </c>
      <c r="AB19" s="120"/>
      <c r="AC19" s="120"/>
      <c r="AD19" s="120"/>
      <c r="AE19" s="120">
        <f>'II rok'!AD55</f>
        <v>25</v>
      </c>
      <c r="AF19" s="120">
        <f>'II rok'!AE55</f>
        <v>1</v>
      </c>
    </row>
    <row r="20" spans="1:32" ht="24.75" customHeight="1">
      <c r="A20" s="653"/>
      <c r="B20" s="120" t="s">
        <v>131</v>
      </c>
      <c r="C20" s="114" t="str">
        <f>'II rok'!B56</f>
        <v>Aparatura medyczna</v>
      </c>
      <c r="D20" s="115" t="str">
        <f>'II rok'!C56</f>
        <v>0912-7LEK-F-11-AM</v>
      </c>
      <c r="E20" s="116"/>
      <c r="F20" s="117">
        <f>'II rok'!E56</f>
        <v>4</v>
      </c>
      <c r="G20" s="118"/>
      <c r="H20" s="119"/>
      <c r="I20" s="120"/>
      <c r="J20" s="120"/>
      <c r="K20" s="120"/>
      <c r="L20" s="120"/>
      <c r="M20" s="120"/>
      <c r="N20" s="120"/>
      <c r="O20" s="120"/>
      <c r="P20" s="118"/>
      <c r="Q20" s="119">
        <f>'II rok'!P56</f>
        <v>15</v>
      </c>
      <c r="R20" s="120">
        <f>'II rok'!Q56</f>
        <v>10</v>
      </c>
      <c r="S20" s="120"/>
      <c r="T20" s="120"/>
      <c r="U20" s="120"/>
      <c r="V20" s="120"/>
      <c r="W20" s="120"/>
      <c r="X20" s="120"/>
      <c r="Y20" s="118">
        <f>'II rok'!X56</f>
        <v>1</v>
      </c>
      <c r="Z20" s="119">
        <f>'II rok'!Y56</f>
        <v>15</v>
      </c>
      <c r="AA20" s="120">
        <f>'II rok'!Z56</f>
        <v>15</v>
      </c>
      <c r="AB20" s="120"/>
      <c r="AC20" s="120"/>
      <c r="AD20" s="120"/>
      <c r="AE20" s="120">
        <f>'II rok'!AD56</f>
        <v>25</v>
      </c>
      <c r="AF20" s="120">
        <f>'II rok'!AE56</f>
        <v>1</v>
      </c>
    </row>
    <row r="21" spans="1:32" ht="24.75" customHeight="1">
      <c r="A21" s="653"/>
      <c r="B21" s="120" t="s">
        <v>132</v>
      </c>
      <c r="C21" s="114" t="str">
        <f>'II rok'!B57</f>
        <v>Immunologia onkologiczna</v>
      </c>
      <c r="D21" s="115" t="str">
        <f>'II rok'!C57</f>
        <v>0912-7LEK-F-12-IO</v>
      </c>
      <c r="E21" s="116"/>
      <c r="F21" s="117">
        <f>'II rok'!E57</f>
        <v>4</v>
      </c>
      <c r="G21" s="118"/>
      <c r="H21" s="152"/>
      <c r="I21" s="153"/>
      <c r="J21" s="153"/>
      <c r="K21" s="153"/>
      <c r="L21" s="153"/>
      <c r="M21" s="153"/>
      <c r="N21" s="153"/>
      <c r="O21" s="153"/>
      <c r="P21" s="151"/>
      <c r="Q21" s="152">
        <f>'II rok'!P57</f>
        <v>15</v>
      </c>
      <c r="R21" s="153">
        <f>'II rok'!Q57</f>
        <v>10</v>
      </c>
      <c r="S21" s="153"/>
      <c r="T21" s="153"/>
      <c r="U21" s="153"/>
      <c r="V21" s="153"/>
      <c r="W21" s="153"/>
      <c r="X21" s="153"/>
      <c r="Y21" s="151">
        <f>'II rok'!X57</f>
        <v>1</v>
      </c>
      <c r="Z21" s="152">
        <f>'II rok'!Y57</f>
        <v>15</v>
      </c>
      <c r="AA21" s="153">
        <f>'II rok'!Z57</f>
        <v>15</v>
      </c>
      <c r="AB21" s="153"/>
      <c r="AC21" s="153"/>
      <c r="AD21" s="153"/>
      <c r="AE21" s="153">
        <f>'II rok'!AD57</f>
        <v>25</v>
      </c>
      <c r="AF21" s="153">
        <f>'II rok'!AE57</f>
        <v>1</v>
      </c>
    </row>
    <row r="22" spans="1:32" ht="24.75" customHeight="1">
      <c r="A22" s="166"/>
      <c r="B22" s="120" t="s">
        <v>133</v>
      </c>
      <c r="C22" s="171" t="s">
        <v>269</v>
      </c>
      <c r="D22" s="170" t="str">
        <f>"0912-7LEK-F-"&amp;B22&amp;"-"&amp;UPPER(LEFT(C22,1))&amp;"O"</f>
        <v>0912-7LEK-F-14-HO</v>
      </c>
      <c r="E22" s="116"/>
      <c r="F22" s="117" t="s">
        <v>140</v>
      </c>
      <c r="G22" s="124"/>
      <c r="H22" s="116"/>
      <c r="I22" s="120"/>
      <c r="J22" s="120"/>
      <c r="K22" s="120"/>
      <c r="L22" s="120"/>
      <c r="M22" s="120"/>
      <c r="N22" s="120"/>
      <c r="O22" s="120"/>
      <c r="P22" s="118"/>
      <c r="Q22" s="116">
        <f>'II rok'!P58</f>
        <v>15</v>
      </c>
      <c r="R22" s="120">
        <f>'II rok'!Q58</f>
        <v>10</v>
      </c>
      <c r="S22" s="120"/>
      <c r="T22" s="120"/>
      <c r="U22" s="120"/>
      <c r="V22" s="120"/>
      <c r="W22" s="120"/>
      <c r="X22" s="120"/>
      <c r="Y22" s="118">
        <f>'II rok'!X58</f>
        <v>1</v>
      </c>
      <c r="Z22" s="119">
        <f>'II rok'!Y58</f>
        <v>15</v>
      </c>
      <c r="AA22" s="120">
        <f>'II rok'!Z58</f>
        <v>15</v>
      </c>
      <c r="AB22" s="120"/>
      <c r="AC22" s="120"/>
      <c r="AD22" s="120"/>
      <c r="AE22" s="120">
        <f>'II rok'!AD58</f>
        <v>25</v>
      </c>
      <c r="AF22" s="120">
        <f>'II rok'!AE58</f>
        <v>1</v>
      </c>
    </row>
    <row r="23" spans="1:32" ht="24.75" customHeight="1">
      <c r="A23" s="653" t="s">
        <v>145</v>
      </c>
      <c r="B23" s="663" t="str">
        <f>'III rok'!A42</f>
        <v>* Zajęcia fakultatywne (student wybiera w 5 semestrze 4 z 5 (2 w formie wykładowej i 2 w formie ćwiczeniowej); w 6 semestrze 3 z 4)</v>
      </c>
      <c r="C23" s="664"/>
      <c r="D23" s="664"/>
      <c r="E23" s="664"/>
      <c r="F23" s="664"/>
      <c r="G23" s="664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691"/>
      <c r="AE23" s="691"/>
      <c r="AF23" s="692"/>
    </row>
    <row r="24" spans="1:32" ht="24.75" customHeight="1">
      <c r="A24" s="653"/>
      <c r="B24" s="120" t="s">
        <v>137</v>
      </c>
      <c r="C24" s="114" t="str">
        <f>'III rok'!B44</f>
        <v>Patofizjologia nerek</v>
      </c>
      <c r="D24" s="115" t="str">
        <f>'III rok'!C44</f>
        <v>0912-7LEK-F-15-PN</v>
      </c>
      <c r="E24" s="116"/>
      <c r="F24" s="117">
        <f>'III rok'!E44</f>
        <v>5</v>
      </c>
      <c r="G24" s="118"/>
      <c r="H24" s="119">
        <f>'III rok'!G44</f>
        <v>15</v>
      </c>
      <c r="I24" s="120">
        <f>'III rok'!H44</f>
        <v>10</v>
      </c>
      <c r="J24" s="120"/>
      <c r="K24" s="120"/>
      <c r="L24" s="120"/>
      <c r="M24" s="120"/>
      <c r="N24" s="120"/>
      <c r="O24" s="120"/>
      <c r="P24" s="118">
        <f>'III rok'!O44</f>
        <v>1</v>
      </c>
      <c r="Q24" s="119"/>
      <c r="R24" s="120"/>
      <c r="S24" s="120"/>
      <c r="T24" s="120"/>
      <c r="U24" s="120"/>
      <c r="V24" s="120"/>
      <c r="W24" s="120"/>
      <c r="X24" s="120"/>
      <c r="Y24" s="118"/>
      <c r="Z24" s="119">
        <f>'III rok'!Y44</f>
        <v>15</v>
      </c>
      <c r="AA24" s="120">
        <f>'III rok'!Z44</f>
        <v>15</v>
      </c>
      <c r="AB24" s="120"/>
      <c r="AC24" s="120"/>
      <c r="AD24" s="120"/>
      <c r="AE24" s="120">
        <f>'III rok'!AD44</f>
        <v>25</v>
      </c>
      <c r="AF24" s="120">
        <f>'III rok'!AE44</f>
        <v>1</v>
      </c>
    </row>
    <row r="25" spans="1:32" ht="24.75" customHeight="1">
      <c r="A25" s="653"/>
      <c r="B25" s="120" t="s">
        <v>138</v>
      </c>
      <c r="C25" s="114" t="str">
        <f>'III rok'!B45</f>
        <v xml:space="preserve">Patofizjologia trzustki </v>
      </c>
      <c r="D25" s="115" t="str">
        <f>'III rok'!C45</f>
        <v>0912-7LEK-F-16-PT</v>
      </c>
      <c r="E25" s="116"/>
      <c r="F25" s="117">
        <f>'III rok'!E45</f>
        <v>5</v>
      </c>
      <c r="G25" s="118"/>
      <c r="H25" s="119">
        <f>'III rok'!G45</f>
        <v>15</v>
      </c>
      <c r="I25" s="120">
        <f>'III rok'!H45</f>
        <v>10</v>
      </c>
      <c r="J25" s="120"/>
      <c r="K25" s="120"/>
      <c r="L25" s="120"/>
      <c r="M25" s="120"/>
      <c r="N25" s="120"/>
      <c r="O25" s="120"/>
      <c r="P25" s="118">
        <f>'III rok'!O45</f>
        <v>1</v>
      </c>
      <c r="Q25" s="119"/>
      <c r="R25" s="120"/>
      <c r="S25" s="120"/>
      <c r="T25" s="120"/>
      <c r="U25" s="120"/>
      <c r="V25" s="120"/>
      <c r="W25" s="120"/>
      <c r="X25" s="120"/>
      <c r="Y25" s="118"/>
      <c r="Z25" s="119">
        <f>'III rok'!Y45</f>
        <v>15</v>
      </c>
      <c r="AA25" s="120">
        <f>'III rok'!Z45</f>
        <v>15</v>
      </c>
      <c r="AB25" s="120"/>
      <c r="AC25" s="120"/>
      <c r="AD25" s="120"/>
      <c r="AE25" s="120">
        <f>'III rok'!AD45</f>
        <v>25</v>
      </c>
      <c r="AF25" s="120">
        <f>'III rok'!AE45</f>
        <v>1</v>
      </c>
    </row>
    <row r="26" spans="1:32" ht="24.75" customHeight="1">
      <c r="A26" s="653"/>
      <c r="B26" s="120" t="s">
        <v>139</v>
      </c>
      <c r="C26" s="114" t="str">
        <f>'III rok'!B48</f>
        <v>Interwencja kryzysowa
 (przedmiot realizowany w formie ćwiczeń)</v>
      </c>
      <c r="D26" s="115" t="str">
        <f>'III rok'!C48</f>
        <v>0912-7LEK-F-19-IK</v>
      </c>
      <c r="E26" s="116"/>
      <c r="F26" s="117">
        <f>'III rok'!E48</f>
        <v>5</v>
      </c>
      <c r="G26" s="118"/>
      <c r="H26" s="119"/>
      <c r="I26" s="120"/>
      <c r="J26" s="120">
        <f>'III rok'!I48</f>
        <v>15</v>
      </c>
      <c r="K26" s="120">
        <f>'III rok'!J48</f>
        <v>10</v>
      </c>
      <c r="L26" s="120"/>
      <c r="M26" s="120"/>
      <c r="N26" s="120"/>
      <c r="O26" s="120"/>
      <c r="P26" s="118">
        <f>'III rok'!O48</f>
        <v>1</v>
      </c>
      <c r="Q26" s="119"/>
      <c r="R26" s="120"/>
      <c r="S26" s="120"/>
      <c r="T26" s="120"/>
      <c r="U26" s="120"/>
      <c r="V26" s="120"/>
      <c r="W26" s="120"/>
      <c r="X26" s="120"/>
      <c r="Y26" s="118"/>
      <c r="Z26" s="119">
        <f>'III rok'!Y48</f>
        <v>15</v>
      </c>
      <c r="AA26" s="120">
        <f>'III rok'!Z48</f>
        <v>0</v>
      </c>
      <c r="AB26" s="120">
        <f>'III rok'!AA48</f>
        <v>15</v>
      </c>
      <c r="AC26" s="120"/>
      <c r="AD26" s="120"/>
      <c r="AE26" s="120">
        <f>'III rok'!AD48</f>
        <v>25</v>
      </c>
      <c r="AF26" s="120">
        <f>'III rok'!AE48</f>
        <v>1</v>
      </c>
    </row>
    <row r="27" spans="1:32" ht="24.75" customHeight="1">
      <c r="A27" s="653"/>
      <c r="B27" s="120" t="s">
        <v>147</v>
      </c>
      <c r="C27" s="114" t="str">
        <f>'III rok'!B49</f>
        <v>Język migowy 
 (przedmiot realizowany w formie ćwiczeń)</v>
      </c>
      <c r="D27" s="115" t="str">
        <f>'III rok'!C49</f>
        <v>0912-7LEK-F-20-JM</v>
      </c>
      <c r="E27" s="116"/>
      <c r="F27" s="117">
        <f>'III rok'!E49</f>
        <v>5</v>
      </c>
      <c r="G27" s="118"/>
      <c r="H27" s="119"/>
      <c r="I27" s="120"/>
      <c r="J27" s="120">
        <f>'III rok'!I49</f>
        <v>15</v>
      </c>
      <c r="K27" s="120">
        <f>'III rok'!J49</f>
        <v>10</v>
      </c>
      <c r="L27" s="120"/>
      <c r="M27" s="120"/>
      <c r="N27" s="120"/>
      <c r="O27" s="120"/>
      <c r="P27" s="118">
        <f>'III rok'!O49</f>
        <v>1</v>
      </c>
      <c r="Q27" s="119"/>
      <c r="R27" s="120"/>
      <c r="S27" s="120"/>
      <c r="T27" s="120"/>
      <c r="U27" s="120"/>
      <c r="V27" s="120"/>
      <c r="W27" s="120"/>
      <c r="X27" s="120"/>
      <c r="Y27" s="118"/>
      <c r="Z27" s="119">
        <f>'III rok'!Y49</f>
        <v>15</v>
      </c>
      <c r="AA27" s="120">
        <f>'III rok'!Z49</f>
        <v>0</v>
      </c>
      <c r="AB27" s="120">
        <f>'III rok'!AA49</f>
        <v>15</v>
      </c>
      <c r="AC27" s="120"/>
      <c r="AD27" s="120"/>
      <c r="AE27" s="120">
        <f>'III rok'!AD49</f>
        <v>25</v>
      </c>
      <c r="AF27" s="120">
        <f>'III rok'!AE49</f>
        <v>1</v>
      </c>
    </row>
    <row r="28" spans="1:32" ht="24.75" customHeight="1">
      <c r="A28" s="653"/>
      <c r="B28" s="120" t="s">
        <v>148</v>
      </c>
      <c r="C28" s="114" t="str">
        <f>'III rok'!B50</f>
        <v>Patomorfologia zmian zapalnych o różnej etiologii</v>
      </c>
      <c r="D28" s="115" t="str">
        <f>'III rok'!C50</f>
        <v>0912-7LEK-F-21-PZ</v>
      </c>
      <c r="E28" s="116"/>
      <c r="F28" s="117">
        <f>'III rok'!E50</f>
        <v>6</v>
      </c>
      <c r="G28" s="118"/>
      <c r="H28" s="119"/>
      <c r="I28" s="120"/>
      <c r="J28" s="120"/>
      <c r="K28" s="120"/>
      <c r="L28" s="120"/>
      <c r="M28" s="120"/>
      <c r="N28" s="120"/>
      <c r="O28" s="120"/>
      <c r="P28" s="118">
        <f>'III rok'!O50</f>
        <v>0</v>
      </c>
      <c r="Q28" s="119">
        <f>'III rok'!P50</f>
        <v>15</v>
      </c>
      <c r="R28" s="120">
        <f>'III rok'!Q50</f>
        <v>10</v>
      </c>
      <c r="S28" s="120"/>
      <c r="T28" s="120"/>
      <c r="U28" s="120"/>
      <c r="V28" s="120"/>
      <c r="W28" s="120"/>
      <c r="X28" s="120"/>
      <c r="Y28" s="118">
        <f>'III rok'!X50</f>
        <v>1</v>
      </c>
      <c r="Z28" s="119">
        <f>'III rok'!Y50</f>
        <v>15</v>
      </c>
      <c r="AA28" s="120">
        <f>'III rok'!Z50</f>
        <v>15</v>
      </c>
      <c r="AB28" s="120"/>
      <c r="AC28" s="120"/>
      <c r="AD28" s="120"/>
      <c r="AE28" s="120">
        <f>'III rok'!AD50</f>
        <v>25</v>
      </c>
      <c r="AF28" s="120">
        <f>'III rok'!AE50</f>
        <v>1</v>
      </c>
    </row>
    <row r="29" spans="1:32" ht="24.75" customHeight="1">
      <c r="A29" s="653"/>
      <c r="B29" s="120" t="s">
        <v>149</v>
      </c>
      <c r="C29" s="114" t="str">
        <f>'III rok'!B51</f>
        <v>Specyfika narządowa raportów patomorfologicznych nowotworów</v>
      </c>
      <c r="D29" s="115" t="str">
        <f>'III rok'!C51</f>
        <v>0912-7LEK-F-22-S</v>
      </c>
      <c r="E29" s="116"/>
      <c r="F29" s="117">
        <f>'III rok'!E51</f>
        <v>6</v>
      </c>
      <c r="G29" s="118"/>
      <c r="H29" s="119"/>
      <c r="I29" s="120"/>
      <c r="J29" s="120"/>
      <c r="K29" s="120"/>
      <c r="L29" s="120"/>
      <c r="M29" s="120"/>
      <c r="N29" s="120"/>
      <c r="O29" s="120"/>
      <c r="P29" s="118">
        <f>'III rok'!O51</f>
        <v>0</v>
      </c>
      <c r="Q29" s="119">
        <f>'III rok'!P51</f>
        <v>15</v>
      </c>
      <c r="R29" s="120">
        <f>'III rok'!Q51</f>
        <v>10</v>
      </c>
      <c r="S29" s="120"/>
      <c r="T29" s="120"/>
      <c r="U29" s="120"/>
      <c r="V29" s="120"/>
      <c r="W29" s="120"/>
      <c r="X29" s="120"/>
      <c r="Y29" s="118">
        <f>'III rok'!X51</f>
        <v>1</v>
      </c>
      <c r="Z29" s="119">
        <f>'III rok'!Y51</f>
        <v>15</v>
      </c>
      <c r="AA29" s="120">
        <f>'III rok'!Z51</f>
        <v>15</v>
      </c>
      <c r="AB29" s="120"/>
      <c r="AC29" s="120"/>
      <c r="AD29" s="120"/>
      <c r="AE29" s="120">
        <f>'III rok'!AD51</f>
        <v>25</v>
      </c>
      <c r="AF29" s="120">
        <f>'III rok'!AE51</f>
        <v>1</v>
      </c>
    </row>
    <row r="30" spans="1:32" ht="24.75" customHeight="1">
      <c r="A30" s="653"/>
      <c r="B30" s="120" t="s">
        <v>150</v>
      </c>
      <c r="C30" s="114" t="str">
        <f>'III rok'!B52</f>
        <v>Patofizjologia układu endokrynnego</v>
      </c>
      <c r="D30" s="115" t="str">
        <f>'III rok'!C52</f>
        <v>0912-7LEK-F-23-PUE</v>
      </c>
      <c r="E30" s="116"/>
      <c r="F30" s="117">
        <f>'III rok'!E52</f>
        <v>6</v>
      </c>
      <c r="G30" s="118"/>
      <c r="H30" s="119"/>
      <c r="I30" s="120"/>
      <c r="J30" s="120"/>
      <c r="K30" s="120"/>
      <c r="L30" s="120"/>
      <c r="M30" s="120"/>
      <c r="N30" s="120"/>
      <c r="O30" s="120"/>
      <c r="P30" s="118">
        <f>'III rok'!O52</f>
        <v>0</v>
      </c>
      <c r="Q30" s="119">
        <f>'III rok'!P52</f>
        <v>15</v>
      </c>
      <c r="R30" s="120">
        <f>'III rok'!Q52</f>
        <v>10</v>
      </c>
      <c r="S30" s="120"/>
      <c r="T30" s="120"/>
      <c r="U30" s="120"/>
      <c r="V30" s="120"/>
      <c r="W30" s="120"/>
      <c r="X30" s="120"/>
      <c r="Y30" s="118">
        <f>'III rok'!X52</f>
        <v>1</v>
      </c>
      <c r="Z30" s="119">
        <f>'III rok'!Y52</f>
        <v>15</v>
      </c>
      <c r="AA30" s="120">
        <f>'III rok'!Z52</f>
        <v>15</v>
      </c>
      <c r="AB30" s="120"/>
      <c r="AC30" s="120"/>
      <c r="AD30" s="120"/>
      <c r="AE30" s="120">
        <f>'III rok'!AD52</f>
        <v>25</v>
      </c>
      <c r="AF30" s="120">
        <f>'III rok'!AE52</f>
        <v>1</v>
      </c>
    </row>
    <row r="31" spans="1:32" ht="24.75" customHeight="1">
      <c r="A31" s="653" t="s">
        <v>146</v>
      </c>
      <c r="B31" s="663" t="str">
        <f>'IV rok'!A42</f>
        <v>* Zajęcia fakultatywne ( student wybiera z grupy 9 przedmiotów: 3przedmioty w 7 semestrze oraz 3 przedmioty w 8 semestrze)</v>
      </c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665"/>
    </row>
    <row r="32" spans="1:32" ht="24.75" customHeight="1">
      <c r="A32" s="653"/>
      <c r="B32" s="120" t="s">
        <v>190</v>
      </c>
      <c r="C32" s="114" t="str">
        <f>'IV rok'!B43</f>
        <v>Dermatologia pediatryczna</v>
      </c>
      <c r="D32" s="115" t="str">
        <f>'IV rok'!C43</f>
        <v>0912-7LEK-F25-D</v>
      </c>
      <c r="E32" s="116"/>
      <c r="F32" s="117">
        <f>'IV rok'!E43</f>
        <v>7</v>
      </c>
      <c r="G32" s="118"/>
      <c r="H32" s="119">
        <f>'IV rok'!G43</f>
        <v>15</v>
      </c>
      <c r="I32" s="120">
        <f>'IV rok'!H43</f>
        <v>10</v>
      </c>
      <c r="J32" s="120"/>
      <c r="K32" s="120"/>
      <c r="L32" s="120"/>
      <c r="M32" s="120"/>
      <c r="N32" s="120"/>
      <c r="O32" s="120"/>
      <c r="P32" s="118">
        <f>'IV rok'!O43</f>
        <v>1</v>
      </c>
      <c r="Q32" s="119"/>
      <c r="R32" s="120"/>
      <c r="S32" s="120"/>
      <c r="T32" s="120"/>
      <c r="U32" s="120"/>
      <c r="V32" s="120"/>
      <c r="W32" s="120"/>
      <c r="X32" s="120"/>
      <c r="Y32" s="118"/>
      <c r="Z32" s="119">
        <f>'IV rok'!Y43</f>
        <v>15</v>
      </c>
      <c r="AA32" s="120">
        <f>'IV rok'!Z43</f>
        <v>15</v>
      </c>
      <c r="AB32" s="120"/>
      <c r="AC32" s="120"/>
      <c r="AD32" s="120"/>
      <c r="AE32" s="120">
        <f>'IV rok'!AD43</f>
        <v>25</v>
      </c>
      <c r="AF32" s="120">
        <f>'IV rok'!AE43</f>
        <v>1</v>
      </c>
    </row>
    <row r="33" spans="1:32" ht="24.75" customHeight="1">
      <c r="A33" s="653"/>
      <c r="B33" s="120" t="s">
        <v>191</v>
      </c>
      <c r="C33" s="114" t="str">
        <f>'IV rok'!B44</f>
        <v>Farmakoekonomika</v>
      </c>
      <c r="D33" s="115" t="str">
        <f>'IV rok'!C44</f>
        <v>0912-7LEK-F26-F</v>
      </c>
      <c r="E33" s="116"/>
      <c r="F33" s="117">
        <f>'IV rok'!E44</f>
        <v>7</v>
      </c>
      <c r="G33" s="118"/>
      <c r="H33" s="119">
        <f>'IV rok'!G44</f>
        <v>15</v>
      </c>
      <c r="I33" s="120">
        <f>'IV rok'!H44</f>
        <v>10</v>
      </c>
      <c r="J33" s="120"/>
      <c r="K33" s="120"/>
      <c r="L33" s="120"/>
      <c r="M33" s="120"/>
      <c r="N33" s="120"/>
      <c r="O33" s="120"/>
      <c r="P33" s="118">
        <f>'IV rok'!O44</f>
        <v>1</v>
      </c>
      <c r="Q33" s="119"/>
      <c r="R33" s="120"/>
      <c r="S33" s="120"/>
      <c r="T33" s="120"/>
      <c r="U33" s="120"/>
      <c r="V33" s="120"/>
      <c r="W33" s="120"/>
      <c r="X33" s="120"/>
      <c r="Y33" s="118"/>
      <c r="Z33" s="119">
        <f>'IV rok'!Y44</f>
        <v>15</v>
      </c>
      <c r="AA33" s="120">
        <f>'IV rok'!Z44</f>
        <v>15</v>
      </c>
      <c r="AB33" s="120"/>
      <c r="AC33" s="120"/>
      <c r="AD33" s="120"/>
      <c r="AE33" s="120">
        <f>'IV rok'!AD44</f>
        <v>25</v>
      </c>
      <c r="AF33" s="120">
        <f>'IV rok'!AE44</f>
        <v>1</v>
      </c>
    </row>
    <row r="34" spans="1:32" ht="24.75" customHeight="1">
      <c r="A34" s="653"/>
      <c r="B34" s="120" t="s">
        <v>192</v>
      </c>
      <c r="C34" s="114" t="str">
        <f>'IV rok'!B45</f>
        <v>Zakażenia wirusami przenoszonymi drogą krwi</v>
      </c>
      <c r="D34" s="115" t="str">
        <f>'IV rok'!C45</f>
        <v>0912-7LEK-F27-Z</v>
      </c>
      <c r="E34" s="116"/>
      <c r="F34" s="117">
        <f>'IV rok'!E45</f>
        <v>7</v>
      </c>
      <c r="G34" s="118"/>
      <c r="H34" s="119">
        <f>'IV rok'!G45</f>
        <v>15</v>
      </c>
      <c r="I34" s="120">
        <f>'IV rok'!H45</f>
        <v>10</v>
      </c>
      <c r="J34" s="120"/>
      <c r="K34" s="120"/>
      <c r="L34" s="120"/>
      <c r="M34" s="120"/>
      <c r="N34" s="120"/>
      <c r="O34" s="120"/>
      <c r="P34" s="118">
        <f>'IV rok'!O45</f>
        <v>1</v>
      </c>
      <c r="Q34" s="119"/>
      <c r="R34" s="120"/>
      <c r="S34" s="120"/>
      <c r="T34" s="120"/>
      <c r="U34" s="120"/>
      <c r="V34" s="120"/>
      <c r="W34" s="120"/>
      <c r="X34" s="120"/>
      <c r="Y34" s="118"/>
      <c r="Z34" s="119">
        <f>'IV rok'!Y45</f>
        <v>15</v>
      </c>
      <c r="AA34" s="120">
        <f>'IV rok'!Z45</f>
        <v>15</v>
      </c>
      <c r="AB34" s="120"/>
      <c r="AC34" s="120"/>
      <c r="AD34" s="120"/>
      <c r="AE34" s="120">
        <f>'IV rok'!AD45</f>
        <v>25</v>
      </c>
      <c r="AF34" s="120">
        <f>'IV rok'!AE45</f>
        <v>1</v>
      </c>
    </row>
    <row r="35" spans="1:32" ht="24.75" customHeight="1">
      <c r="A35" s="653"/>
      <c r="B35" s="120" t="s">
        <v>193</v>
      </c>
      <c r="C35" s="114" t="str">
        <f>'IV rok'!B46</f>
        <v>Chirurgia endoskopowa i laparoskopowa</v>
      </c>
      <c r="D35" s="115" t="str">
        <f>'IV rok'!C46</f>
        <v>0912-7LEK-F28-C</v>
      </c>
      <c r="E35" s="116"/>
      <c r="F35" s="117">
        <f>'IV rok'!E46</f>
        <v>8</v>
      </c>
      <c r="G35" s="118"/>
      <c r="H35" s="119"/>
      <c r="I35" s="120"/>
      <c r="J35" s="120"/>
      <c r="K35" s="120"/>
      <c r="L35" s="120"/>
      <c r="M35" s="120"/>
      <c r="N35" s="120"/>
      <c r="O35" s="120"/>
      <c r="P35" s="118"/>
      <c r="Q35" s="119">
        <f>'IV rok'!P46</f>
        <v>15</v>
      </c>
      <c r="R35" s="120">
        <f>'IV rok'!Q46</f>
        <v>10</v>
      </c>
      <c r="S35" s="120"/>
      <c r="T35" s="120"/>
      <c r="U35" s="120"/>
      <c r="V35" s="120"/>
      <c r="W35" s="120"/>
      <c r="X35" s="120"/>
      <c r="Y35" s="118">
        <f>'IV rok'!X46</f>
        <v>0</v>
      </c>
      <c r="Z35" s="119">
        <f>'IV rok'!Y46</f>
        <v>15</v>
      </c>
      <c r="AA35" s="120">
        <f>'IV rok'!Z46</f>
        <v>15</v>
      </c>
      <c r="AB35" s="120"/>
      <c r="AC35" s="120"/>
      <c r="AD35" s="120"/>
      <c r="AE35" s="120">
        <f>'IV rok'!AD46</f>
        <v>25</v>
      </c>
      <c r="AF35" s="120">
        <f>'IV rok'!AE46</f>
        <v>1</v>
      </c>
    </row>
    <row r="36" spans="1:32" ht="24.75" customHeight="1">
      <c r="A36" s="653"/>
      <c r="B36" s="120" t="s">
        <v>205</v>
      </c>
      <c r="C36" s="114" t="str">
        <f>'IV rok'!B47</f>
        <v>Pediatria - kardiologia dziecięca</v>
      </c>
      <c r="D36" s="115" t="str">
        <f>'IV rok'!C47</f>
        <v>0912-7LEK-F29-P</v>
      </c>
      <c r="E36" s="116"/>
      <c r="F36" s="117">
        <f>'IV rok'!E47</f>
        <v>8</v>
      </c>
      <c r="G36" s="118"/>
      <c r="H36" s="119"/>
      <c r="I36" s="120"/>
      <c r="J36" s="120"/>
      <c r="K36" s="120"/>
      <c r="L36" s="120"/>
      <c r="M36" s="120"/>
      <c r="N36" s="120"/>
      <c r="O36" s="120"/>
      <c r="P36" s="118"/>
      <c r="Q36" s="119">
        <f>'IV rok'!P47</f>
        <v>15</v>
      </c>
      <c r="R36" s="120">
        <f>'IV rok'!Q47</f>
        <v>10</v>
      </c>
      <c r="S36" s="120"/>
      <c r="T36" s="120"/>
      <c r="U36" s="120"/>
      <c r="V36" s="120"/>
      <c r="W36" s="120"/>
      <c r="X36" s="120"/>
      <c r="Y36" s="118">
        <f>'IV rok'!X47</f>
        <v>1</v>
      </c>
      <c r="Z36" s="119">
        <f>'IV rok'!Y47</f>
        <v>15</v>
      </c>
      <c r="AA36" s="120">
        <f>'IV rok'!Z47</f>
        <v>15</v>
      </c>
      <c r="AB36" s="120"/>
      <c r="AC36" s="120"/>
      <c r="AD36" s="120"/>
      <c r="AE36" s="120">
        <f>'IV rok'!AD47</f>
        <v>25</v>
      </c>
      <c r="AF36" s="120">
        <f>'IV rok'!AE47</f>
        <v>1</v>
      </c>
    </row>
    <row r="37" spans="1:32" ht="24.75" customHeight="1">
      <c r="A37" s="653"/>
      <c r="B37" s="120" t="s">
        <v>206</v>
      </c>
      <c r="C37" s="217" t="str">
        <f>'IV rok'!B48</f>
        <v>Terapia bólu</v>
      </c>
      <c r="D37" s="115" t="str">
        <f>'IV rok'!C48</f>
        <v>0912-7LEK-F30-T</v>
      </c>
      <c r="E37" s="116"/>
      <c r="F37" s="117">
        <f>'IV rok'!E48</f>
        <v>8</v>
      </c>
      <c r="G37" s="118"/>
      <c r="H37" s="119"/>
      <c r="I37" s="120"/>
      <c r="J37" s="120"/>
      <c r="K37" s="120"/>
      <c r="L37" s="120"/>
      <c r="M37" s="120"/>
      <c r="N37" s="120"/>
      <c r="O37" s="120"/>
      <c r="P37" s="118"/>
      <c r="Q37" s="119">
        <f>'IV rok'!P48</f>
        <v>15</v>
      </c>
      <c r="R37" s="120">
        <f>'IV rok'!Q48</f>
        <v>10</v>
      </c>
      <c r="S37" s="120"/>
      <c r="T37" s="120"/>
      <c r="U37" s="120"/>
      <c r="V37" s="120"/>
      <c r="W37" s="120"/>
      <c r="X37" s="120"/>
      <c r="Y37" s="118">
        <f>'IV rok'!X48</f>
        <v>1</v>
      </c>
      <c r="Z37" s="119">
        <f>'IV rok'!Y48</f>
        <v>15</v>
      </c>
      <c r="AA37" s="120">
        <f>'IV rok'!Z48</f>
        <v>15</v>
      </c>
      <c r="AB37" s="120"/>
      <c r="AC37" s="120"/>
      <c r="AD37" s="120"/>
      <c r="AE37" s="120">
        <f>'IV rok'!AD48</f>
        <v>25</v>
      </c>
      <c r="AF37" s="120">
        <f>'IV rok'!AE48</f>
        <v>1</v>
      </c>
    </row>
    <row r="38" spans="1:32" ht="24.75" customHeight="1">
      <c r="A38" s="653"/>
      <c r="B38" s="120" t="s">
        <v>207</v>
      </c>
      <c r="C38" s="114" t="str">
        <f>'IV rok'!B49</f>
        <v>Choroby płuc</v>
      </c>
      <c r="D38" s="115" t="str">
        <f>'IV rok'!C49</f>
        <v>0912-7LEK-F31-C</v>
      </c>
      <c r="E38" s="116"/>
      <c r="F38" s="117">
        <f>'IV rok'!E49</f>
        <v>8</v>
      </c>
      <c r="G38" s="118"/>
      <c r="H38" s="119"/>
      <c r="I38" s="120"/>
      <c r="J38" s="120"/>
      <c r="K38" s="120"/>
      <c r="L38" s="120"/>
      <c r="M38" s="120"/>
      <c r="N38" s="120"/>
      <c r="O38" s="120"/>
      <c r="P38" s="118"/>
      <c r="Q38" s="119">
        <f>'IV rok'!P49</f>
        <v>15</v>
      </c>
      <c r="R38" s="120">
        <f>'IV rok'!Q49</f>
        <v>10</v>
      </c>
      <c r="S38" s="120"/>
      <c r="T38" s="120"/>
      <c r="U38" s="120"/>
      <c r="V38" s="120"/>
      <c r="W38" s="120"/>
      <c r="X38" s="120"/>
      <c r="Y38" s="118">
        <f>'IV rok'!X49</f>
        <v>1</v>
      </c>
      <c r="Z38" s="119">
        <f>'IV rok'!Y49</f>
        <v>15</v>
      </c>
      <c r="AA38" s="120">
        <f>'IV rok'!Z49</f>
        <v>15</v>
      </c>
      <c r="AB38" s="120"/>
      <c r="AC38" s="120"/>
      <c r="AD38" s="120"/>
      <c r="AE38" s="120">
        <f>'IV rok'!AD49</f>
        <v>25</v>
      </c>
      <c r="AF38" s="120">
        <f>'IV rok'!AE49</f>
        <v>1</v>
      </c>
    </row>
    <row r="39" spans="1:32" ht="24.75" customHeight="1">
      <c r="A39" s="653"/>
      <c r="B39" s="120" t="s">
        <v>208</v>
      </c>
      <c r="C39" s="114" t="str">
        <f>'IV rok'!B50</f>
        <v>Chirurgia naczyniowa</v>
      </c>
      <c r="D39" s="115" t="str">
        <f>'IV rok'!C50</f>
        <v>0912-7LEK-F32-C</v>
      </c>
      <c r="E39" s="116"/>
      <c r="F39" s="117">
        <f>'IV rok'!E50</f>
        <v>8</v>
      </c>
      <c r="G39" s="118"/>
      <c r="H39" s="119"/>
      <c r="I39" s="120"/>
      <c r="J39" s="120"/>
      <c r="K39" s="120"/>
      <c r="L39" s="120"/>
      <c r="M39" s="120"/>
      <c r="N39" s="120"/>
      <c r="O39" s="120"/>
      <c r="P39" s="118"/>
      <c r="Q39" s="119">
        <f>'IV rok'!P50</f>
        <v>15</v>
      </c>
      <c r="R39" s="120">
        <f>'IV rok'!Q50</f>
        <v>10</v>
      </c>
      <c r="S39" s="120"/>
      <c r="T39" s="120"/>
      <c r="U39" s="120"/>
      <c r="V39" s="120"/>
      <c r="W39" s="120"/>
      <c r="X39" s="120"/>
      <c r="Y39" s="118">
        <f>'IV rok'!X50</f>
        <v>1</v>
      </c>
      <c r="Z39" s="119">
        <f>'IV rok'!Y50</f>
        <v>15</v>
      </c>
      <c r="AA39" s="120">
        <f>'IV rok'!Z50</f>
        <v>15</v>
      </c>
      <c r="AB39" s="120"/>
      <c r="AC39" s="120"/>
      <c r="AD39" s="120"/>
      <c r="AE39" s="120">
        <f>'IV rok'!AD50</f>
        <v>25</v>
      </c>
      <c r="AF39" s="120">
        <f>'IV rok'!AE50</f>
        <v>1</v>
      </c>
    </row>
    <row r="40" spans="1:32" ht="24.75" customHeight="1">
      <c r="A40" s="653"/>
      <c r="B40" s="120" t="s">
        <v>250</v>
      </c>
      <c r="C40" s="217" t="str">
        <f>'IV rok'!B51</f>
        <v>Endokrynologia dziecieca</v>
      </c>
      <c r="D40" s="115" t="str">
        <f>'IV rok'!C51</f>
        <v>0912-7LEK-F33-E</v>
      </c>
      <c r="E40" s="116"/>
      <c r="F40" s="117">
        <f>'IV rok'!E51</f>
        <v>8</v>
      </c>
      <c r="G40" s="118"/>
      <c r="H40" s="119"/>
      <c r="I40" s="120"/>
      <c r="J40" s="120"/>
      <c r="K40" s="120"/>
      <c r="L40" s="120"/>
      <c r="M40" s="120"/>
      <c r="N40" s="120"/>
      <c r="O40" s="120"/>
      <c r="P40" s="118"/>
      <c r="Q40" s="119">
        <f>'IV rok'!P51</f>
        <v>0</v>
      </c>
      <c r="R40" s="120">
        <f>'IV rok'!Q51</f>
        <v>0</v>
      </c>
      <c r="S40" s="120"/>
      <c r="T40" s="120"/>
      <c r="U40" s="120"/>
      <c r="V40" s="120"/>
      <c r="W40" s="120"/>
      <c r="X40" s="120"/>
      <c r="Y40" s="118">
        <f>'IV rok'!X51</f>
        <v>0</v>
      </c>
      <c r="Z40" s="119">
        <f>'IV rok'!Y51</f>
        <v>15</v>
      </c>
      <c r="AA40" s="120">
        <f>'IV rok'!Z51</f>
        <v>15</v>
      </c>
      <c r="AB40" s="120"/>
      <c r="AC40" s="120"/>
      <c r="AD40" s="120"/>
      <c r="AE40" s="120">
        <f>'IV rok'!AD51</f>
        <v>25</v>
      </c>
      <c r="AF40" s="120">
        <f>'IV rok'!AE51</f>
        <v>1</v>
      </c>
    </row>
    <row r="41" spans="1:32" ht="24.75" customHeight="1">
      <c r="A41" s="660" t="s">
        <v>160</v>
      </c>
      <c r="B41" s="688" t="e">
        <f>#REF!</f>
        <v>#REF!</v>
      </c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  <c r="W41" s="689"/>
      <c r="X41" s="689"/>
      <c r="Y41" s="689"/>
      <c r="Z41" s="689"/>
      <c r="AA41" s="689"/>
      <c r="AB41" s="689"/>
      <c r="AC41" s="689"/>
      <c r="AD41" s="689"/>
      <c r="AE41" s="689"/>
      <c r="AF41" s="690"/>
    </row>
    <row r="42" spans="1:32" ht="24.75" customHeight="1">
      <c r="A42" s="661"/>
      <c r="B42" s="120" t="s">
        <v>209</v>
      </c>
      <c r="C42" s="217" t="e">
        <f>#REF!</f>
        <v>#REF!</v>
      </c>
      <c r="D42" s="115" t="e">
        <f>#REF!</f>
        <v>#REF!</v>
      </c>
      <c r="E42" s="116"/>
      <c r="F42" s="117" t="e">
        <f>#REF!</f>
        <v>#REF!</v>
      </c>
      <c r="G42" s="118"/>
      <c r="H42" s="119" t="e">
        <f>#REF!</f>
        <v>#REF!</v>
      </c>
      <c r="I42" s="120" t="e">
        <f>#REF!</f>
        <v>#REF!</v>
      </c>
      <c r="J42" s="120" t="e">
        <f>#REF!</f>
        <v>#REF!</v>
      </c>
      <c r="K42" s="120" t="e">
        <f>#REF!</f>
        <v>#REF!</v>
      </c>
      <c r="L42" s="120"/>
      <c r="M42" s="120"/>
      <c r="N42" s="120"/>
      <c r="O42" s="120"/>
      <c r="P42" s="118" t="e">
        <f>#REF!</f>
        <v>#REF!</v>
      </c>
      <c r="Q42" s="119"/>
      <c r="R42" s="120"/>
      <c r="S42" s="120"/>
      <c r="T42" s="120"/>
      <c r="U42" s="120"/>
      <c r="V42" s="120"/>
      <c r="W42" s="120"/>
      <c r="X42" s="120"/>
      <c r="Y42" s="118"/>
      <c r="Z42" s="119" t="e">
        <f>#REF!</f>
        <v>#REF!</v>
      </c>
      <c r="AA42" s="120" t="e">
        <f>#REF!</f>
        <v>#REF!</v>
      </c>
      <c r="AB42" s="120" t="e">
        <f>#REF!</f>
        <v>#REF!</v>
      </c>
      <c r="AC42" s="120"/>
      <c r="AD42" s="120"/>
      <c r="AE42" s="120" t="e">
        <f>#REF!</f>
        <v>#REF!</v>
      </c>
      <c r="AF42" s="120" t="e">
        <f>#REF!</f>
        <v>#REF!</v>
      </c>
    </row>
    <row r="43" spans="1:32" ht="24.75" customHeight="1">
      <c r="A43" s="661"/>
      <c r="B43" s="120" t="s">
        <v>210</v>
      </c>
      <c r="C43" s="114" t="e">
        <f>#REF!</f>
        <v>#REF!</v>
      </c>
      <c r="D43" s="115" t="e">
        <f>#REF!</f>
        <v>#REF!</v>
      </c>
      <c r="E43" s="116"/>
      <c r="F43" s="117" t="e">
        <f>#REF!</f>
        <v>#REF!</v>
      </c>
      <c r="G43" s="118"/>
      <c r="H43" s="119" t="e">
        <f>#REF!</f>
        <v>#REF!</v>
      </c>
      <c r="I43" s="120" t="e">
        <f>#REF!</f>
        <v>#REF!</v>
      </c>
      <c r="J43" s="120" t="e">
        <f>#REF!</f>
        <v>#REF!</v>
      </c>
      <c r="K43" s="120" t="e">
        <f>#REF!</f>
        <v>#REF!</v>
      </c>
      <c r="L43" s="120"/>
      <c r="M43" s="120"/>
      <c r="N43" s="120"/>
      <c r="O43" s="120"/>
      <c r="P43" s="118" t="e">
        <f>#REF!</f>
        <v>#REF!</v>
      </c>
      <c r="Q43" s="119"/>
      <c r="R43" s="120"/>
      <c r="S43" s="120"/>
      <c r="T43" s="120"/>
      <c r="U43" s="120"/>
      <c r="V43" s="120"/>
      <c r="W43" s="120"/>
      <c r="X43" s="120"/>
      <c r="Y43" s="118"/>
      <c r="Z43" s="119" t="e">
        <f>#REF!</f>
        <v>#REF!</v>
      </c>
      <c r="AA43" s="120" t="e">
        <f>#REF!</f>
        <v>#REF!</v>
      </c>
      <c r="AB43" s="120" t="e">
        <f>#REF!</f>
        <v>#REF!</v>
      </c>
      <c r="AC43" s="120"/>
      <c r="AD43" s="120"/>
      <c r="AE43" s="120" t="e">
        <f>#REF!</f>
        <v>#REF!</v>
      </c>
      <c r="AF43" s="120" t="e">
        <f>#REF!</f>
        <v>#REF!</v>
      </c>
    </row>
    <row r="44" spans="1:32" ht="24.75" customHeight="1">
      <c r="A44" s="661"/>
      <c r="B44" s="120" t="s">
        <v>211</v>
      </c>
      <c r="C44" s="217" t="e">
        <f>#REF!</f>
        <v>#REF!</v>
      </c>
      <c r="D44" s="115" t="e">
        <f>#REF!</f>
        <v>#REF!</v>
      </c>
      <c r="E44" s="116"/>
      <c r="F44" s="117" t="e">
        <f>#REF!</f>
        <v>#REF!</v>
      </c>
      <c r="G44" s="118"/>
      <c r="H44" s="119" t="e">
        <f>#REF!</f>
        <v>#REF!</v>
      </c>
      <c r="I44" s="120" t="e">
        <f>#REF!</f>
        <v>#REF!</v>
      </c>
      <c r="J44" s="120" t="e">
        <f>#REF!</f>
        <v>#REF!</v>
      </c>
      <c r="K44" s="120" t="e">
        <f>#REF!</f>
        <v>#REF!</v>
      </c>
      <c r="L44" s="120"/>
      <c r="M44" s="120"/>
      <c r="N44" s="120"/>
      <c r="O44" s="120"/>
      <c r="P44" s="118" t="e">
        <f>#REF!</f>
        <v>#REF!</v>
      </c>
      <c r="Q44" s="119"/>
      <c r="R44" s="120"/>
      <c r="S44" s="120"/>
      <c r="T44" s="120"/>
      <c r="U44" s="120"/>
      <c r="V44" s="120"/>
      <c r="W44" s="120"/>
      <c r="X44" s="120"/>
      <c r="Y44" s="118"/>
      <c r="Z44" s="119" t="e">
        <f>#REF!</f>
        <v>#REF!</v>
      </c>
      <c r="AA44" s="120" t="e">
        <f>#REF!</f>
        <v>#REF!</v>
      </c>
      <c r="AB44" s="120" t="e">
        <f>#REF!</f>
        <v>#REF!</v>
      </c>
      <c r="AC44" s="120"/>
      <c r="AD44" s="120"/>
      <c r="AE44" s="120" t="e">
        <f>#REF!</f>
        <v>#REF!</v>
      </c>
      <c r="AF44" s="120" t="e">
        <f>#REF!</f>
        <v>#REF!</v>
      </c>
    </row>
    <row r="45" spans="1:32" ht="24.75" customHeight="1">
      <c r="A45" s="661"/>
      <c r="B45" s="120" t="s">
        <v>212</v>
      </c>
      <c r="C45" s="114" t="e">
        <f>#REF!</f>
        <v>#REF!</v>
      </c>
      <c r="D45" s="115" t="e">
        <f>#REF!</f>
        <v>#REF!</v>
      </c>
      <c r="E45" s="116"/>
      <c r="F45" s="117" t="e">
        <f>#REF!</f>
        <v>#REF!</v>
      </c>
      <c r="G45" s="118"/>
      <c r="H45" s="119" t="e">
        <f>#REF!</f>
        <v>#REF!</v>
      </c>
      <c r="I45" s="120" t="e">
        <f>#REF!</f>
        <v>#REF!</v>
      </c>
      <c r="J45" s="120" t="e">
        <f>#REF!</f>
        <v>#REF!</v>
      </c>
      <c r="K45" s="120" t="e">
        <f>#REF!</f>
        <v>#REF!</v>
      </c>
      <c r="L45" s="120"/>
      <c r="M45" s="120"/>
      <c r="N45" s="120"/>
      <c r="O45" s="120"/>
      <c r="P45" s="118" t="e">
        <f>#REF!</f>
        <v>#REF!</v>
      </c>
      <c r="Q45" s="119"/>
      <c r="R45" s="120"/>
      <c r="S45" s="120"/>
      <c r="T45" s="120"/>
      <c r="U45" s="120"/>
      <c r="V45" s="120"/>
      <c r="W45" s="120"/>
      <c r="X45" s="120"/>
      <c r="Y45" s="118"/>
      <c r="Z45" s="119" t="e">
        <f>#REF!</f>
        <v>#REF!</v>
      </c>
      <c r="AA45" s="120" t="e">
        <f>#REF!</f>
        <v>#REF!</v>
      </c>
      <c r="AB45" s="120" t="e">
        <f>#REF!</f>
        <v>#REF!</v>
      </c>
      <c r="AC45" s="120"/>
      <c r="AD45" s="120"/>
      <c r="AE45" s="120" t="e">
        <f>#REF!</f>
        <v>#REF!</v>
      </c>
      <c r="AF45" s="120" t="e">
        <f>#REF!</f>
        <v>#REF!</v>
      </c>
    </row>
    <row r="46" spans="1:32" ht="24.75" customHeight="1">
      <c r="A46" s="661"/>
      <c r="B46" s="120" t="s">
        <v>213</v>
      </c>
      <c r="C46" s="114" t="e">
        <f>#REF!</f>
        <v>#REF!</v>
      </c>
      <c r="D46" s="115" t="e">
        <f>#REF!</f>
        <v>#REF!</v>
      </c>
      <c r="E46" s="116"/>
      <c r="F46" s="117" t="e">
        <f>#REF!</f>
        <v>#REF!</v>
      </c>
      <c r="G46" s="118"/>
      <c r="H46" s="119" t="e">
        <f>#REF!</f>
        <v>#REF!</v>
      </c>
      <c r="I46" s="120" t="e">
        <f>#REF!</f>
        <v>#REF!</v>
      </c>
      <c r="J46" s="120" t="e">
        <f>#REF!</f>
        <v>#REF!</v>
      </c>
      <c r="K46" s="120" t="e">
        <f>#REF!</f>
        <v>#REF!</v>
      </c>
      <c r="L46" s="120"/>
      <c r="M46" s="120"/>
      <c r="N46" s="120"/>
      <c r="O46" s="120"/>
      <c r="P46" s="118" t="e">
        <f>#REF!</f>
        <v>#REF!</v>
      </c>
      <c r="Q46" s="119"/>
      <c r="R46" s="120"/>
      <c r="S46" s="120"/>
      <c r="T46" s="120"/>
      <c r="U46" s="120"/>
      <c r="V46" s="120"/>
      <c r="W46" s="120"/>
      <c r="X46" s="120"/>
      <c r="Y46" s="118"/>
      <c r="Z46" s="119" t="e">
        <f>#REF!</f>
        <v>#REF!</v>
      </c>
      <c r="AA46" s="120" t="e">
        <f>#REF!</f>
        <v>#REF!</v>
      </c>
      <c r="AB46" s="120" t="e">
        <f>#REF!</f>
        <v>#REF!</v>
      </c>
      <c r="AC46" s="120"/>
      <c r="AD46" s="120"/>
      <c r="AE46" s="120" t="e">
        <f>#REF!</f>
        <v>#REF!</v>
      </c>
      <c r="AF46" s="120" t="e">
        <f>#REF!</f>
        <v>#REF!</v>
      </c>
    </row>
    <row r="47" spans="1:32" ht="24.75" customHeight="1">
      <c r="A47" s="661"/>
      <c r="B47" s="120" t="s">
        <v>214</v>
      </c>
      <c r="C47" s="114" t="e">
        <f>#REF!</f>
        <v>#REF!</v>
      </c>
      <c r="D47" s="115" t="e">
        <f>#REF!</f>
        <v>#REF!</v>
      </c>
      <c r="E47" s="116"/>
      <c r="F47" s="117" t="e">
        <f>#REF!</f>
        <v>#REF!</v>
      </c>
      <c r="G47" s="118"/>
      <c r="H47" s="119" t="e">
        <f>#REF!</f>
        <v>#REF!</v>
      </c>
      <c r="I47" s="120" t="e">
        <f>#REF!</f>
        <v>#REF!</v>
      </c>
      <c r="J47" s="120" t="e">
        <f>#REF!</f>
        <v>#REF!</v>
      </c>
      <c r="K47" s="120" t="e">
        <f>#REF!</f>
        <v>#REF!</v>
      </c>
      <c r="L47" s="120"/>
      <c r="M47" s="120"/>
      <c r="N47" s="120"/>
      <c r="O47" s="120"/>
      <c r="P47" s="118" t="e">
        <f>#REF!</f>
        <v>#REF!</v>
      </c>
      <c r="Q47" s="119"/>
      <c r="R47" s="120"/>
      <c r="S47" s="120"/>
      <c r="T47" s="120"/>
      <c r="U47" s="120"/>
      <c r="V47" s="120"/>
      <c r="W47" s="120"/>
      <c r="X47" s="120"/>
      <c r="Y47" s="118"/>
      <c r="Z47" s="119" t="e">
        <f>#REF!</f>
        <v>#REF!</v>
      </c>
      <c r="AA47" s="120" t="e">
        <f>#REF!</f>
        <v>#REF!</v>
      </c>
      <c r="AB47" s="120" t="e">
        <f>#REF!</f>
        <v>#REF!</v>
      </c>
      <c r="AC47" s="120"/>
      <c r="AD47" s="120"/>
      <c r="AE47" s="120" t="e">
        <f>#REF!</f>
        <v>#REF!</v>
      </c>
      <c r="AF47" s="120" t="e">
        <f>#REF!</f>
        <v>#REF!</v>
      </c>
    </row>
    <row r="48" spans="1:32" ht="24.75" customHeight="1">
      <c r="A48" s="661"/>
      <c r="B48" s="120" t="s">
        <v>215</v>
      </c>
      <c r="C48" s="114" t="e">
        <f>#REF!</f>
        <v>#REF!</v>
      </c>
      <c r="D48" s="115" t="e">
        <f>#REF!</f>
        <v>#REF!</v>
      </c>
      <c r="E48" s="116"/>
      <c r="F48" s="117" t="e">
        <f>#REF!</f>
        <v>#REF!</v>
      </c>
      <c r="G48" s="118"/>
      <c r="H48" s="119" t="e">
        <f>#REF!</f>
        <v>#REF!</v>
      </c>
      <c r="I48" s="120" t="e">
        <f>#REF!</f>
        <v>#REF!</v>
      </c>
      <c r="J48" s="120" t="e">
        <f>#REF!</f>
        <v>#REF!</v>
      </c>
      <c r="K48" s="120" t="e">
        <f>#REF!</f>
        <v>#REF!</v>
      </c>
      <c r="L48" s="120"/>
      <c r="M48" s="120"/>
      <c r="N48" s="120"/>
      <c r="O48" s="120"/>
      <c r="P48" s="118" t="e">
        <f>#REF!</f>
        <v>#REF!</v>
      </c>
      <c r="Q48" s="119"/>
      <c r="R48" s="120"/>
      <c r="S48" s="120"/>
      <c r="T48" s="120"/>
      <c r="U48" s="120"/>
      <c r="V48" s="120"/>
      <c r="W48" s="120"/>
      <c r="X48" s="120"/>
      <c r="Y48" s="118"/>
      <c r="Z48" s="119" t="e">
        <f>#REF!</f>
        <v>#REF!</v>
      </c>
      <c r="AA48" s="120" t="e">
        <f>#REF!</f>
        <v>#REF!</v>
      </c>
      <c r="AB48" s="120" t="e">
        <f>#REF!</f>
        <v>#REF!</v>
      </c>
      <c r="AC48" s="120"/>
      <c r="AD48" s="120"/>
      <c r="AE48" s="120" t="e">
        <f>#REF!</f>
        <v>#REF!</v>
      </c>
      <c r="AF48" s="120" t="e">
        <f>#REF!</f>
        <v>#REF!</v>
      </c>
    </row>
    <row r="49" spans="1:32" ht="24.75" customHeight="1">
      <c r="A49" s="661"/>
      <c r="B49" s="120" t="s">
        <v>216</v>
      </c>
      <c r="C49" s="114" t="e">
        <f>#REF!</f>
        <v>#REF!</v>
      </c>
      <c r="D49" s="115" t="e">
        <f>#REF!</f>
        <v>#REF!</v>
      </c>
      <c r="E49" s="116"/>
      <c r="F49" s="117" t="e">
        <f>#REF!</f>
        <v>#REF!</v>
      </c>
      <c r="G49" s="118"/>
      <c r="H49" s="119" t="e">
        <f>#REF!</f>
        <v>#REF!</v>
      </c>
      <c r="I49" s="120" t="e">
        <f>#REF!</f>
        <v>#REF!</v>
      </c>
      <c r="J49" s="120" t="e">
        <f>#REF!</f>
        <v>#REF!</v>
      </c>
      <c r="K49" s="120" t="e">
        <f>#REF!</f>
        <v>#REF!</v>
      </c>
      <c r="L49" s="120"/>
      <c r="M49" s="120"/>
      <c r="N49" s="120"/>
      <c r="O49" s="120"/>
      <c r="P49" s="118" t="e">
        <f>#REF!</f>
        <v>#REF!</v>
      </c>
      <c r="Q49" s="119"/>
      <c r="R49" s="120"/>
      <c r="S49" s="120"/>
      <c r="T49" s="120"/>
      <c r="U49" s="120"/>
      <c r="V49" s="120"/>
      <c r="W49" s="120"/>
      <c r="X49" s="120"/>
      <c r="Y49" s="118"/>
      <c r="Z49" s="119" t="e">
        <f>#REF!</f>
        <v>#REF!</v>
      </c>
      <c r="AA49" s="120" t="e">
        <f>#REF!</f>
        <v>#REF!</v>
      </c>
      <c r="AB49" s="120" t="e">
        <f>#REF!</f>
        <v>#REF!</v>
      </c>
      <c r="AC49" s="120"/>
      <c r="AD49" s="120"/>
      <c r="AE49" s="120" t="e">
        <f>#REF!</f>
        <v>#REF!</v>
      </c>
      <c r="AF49" s="120" t="e">
        <f>#REF!</f>
        <v>#REF!</v>
      </c>
    </row>
    <row r="50" spans="1:32" ht="24.75" customHeight="1">
      <c r="A50" s="661"/>
      <c r="B50" s="120" t="s">
        <v>217</v>
      </c>
      <c r="C50" s="114" t="e">
        <f>#REF!</f>
        <v>#REF!</v>
      </c>
      <c r="D50" s="115" t="e">
        <f>#REF!</f>
        <v>#REF!</v>
      </c>
      <c r="E50" s="116"/>
      <c r="F50" s="117" t="e">
        <f>#REF!</f>
        <v>#REF!</v>
      </c>
      <c r="G50" s="118"/>
      <c r="H50" s="119" t="e">
        <f>#REF!</f>
        <v>#REF!</v>
      </c>
      <c r="I50" s="120" t="e">
        <f>#REF!</f>
        <v>#REF!</v>
      </c>
      <c r="J50" s="120" t="e">
        <f>#REF!</f>
        <v>#REF!</v>
      </c>
      <c r="K50" s="120" t="e">
        <f>#REF!</f>
        <v>#REF!</v>
      </c>
      <c r="L50" s="120"/>
      <c r="M50" s="120"/>
      <c r="N50" s="120"/>
      <c r="O50" s="120"/>
      <c r="P50" s="118" t="e">
        <f>#REF!</f>
        <v>#REF!</v>
      </c>
      <c r="Q50" s="119"/>
      <c r="R50" s="120"/>
      <c r="S50" s="120"/>
      <c r="T50" s="120"/>
      <c r="U50" s="120"/>
      <c r="V50" s="120"/>
      <c r="W50" s="120"/>
      <c r="X50" s="120"/>
      <c r="Y50" s="118"/>
      <c r="Z50" s="119" t="e">
        <f>#REF!</f>
        <v>#REF!</v>
      </c>
      <c r="AA50" s="120" t="e">
        <f>#REF!</f>
        <v>#REF!</v>
      </c>
      <c r="AB50" s="120" t="e">
        <f>#REF!</f>
        <v>#REF!</v>
      </c>
      <c r="AC50" s="120"/>
      <c r="AD50" s="120"/>
      <c r="AE50" s="120" t="e">
        <f>#REF!</f>
        <v>#REF!</v>
      </c>
      <c r="AF50" s="120" t="e">
        <f>#REF!</f>
        <v>#REF!</v>
      </c>
    </row>
    <row r="51" spans="1:32" ht="24.75" customHeight="1">
      <c r="A51" s="661"/>
      <c r="B51" s="120" t="s">
        <v>218</v>
      </c>
      <c r="C51" s="114" t="e">
        <f>#REF!</f>
        <v>#REF!</v>
      </c>
      <c r="D51" s="115" t="e">
        <f>#REF!</f>
        <v>#REF!</v>
      </c>
      <c r="E51" s="116"/>
      <c r="F51" s="117" t="e">
        <f>#REF!</f>
        <v>#REF!</v>
      </c>
      <c r="G51" s="118"/>
      <c r="H51" s="119" t="e">
        <f>#REF!</f>
        <v>#REF!</v>
      </c>
      <c r="I51" s="120" t="e">
        <f>#REF!</f>
        <v>#REF!</v>
      </c>
      <c r="J51" s="120" t="e">
        <f>#REF!</f>
        <v>#REF!</v>
      </c>
      <c r="K51" s="120" t="e">
        <f>#REF!</f>
        <v>#REF!</v>
      </c>
      <c r="L51" s="120"/>
      <c r="M51" s="120"/>
      <c r="N51" s="120"/>
      <c r="O51" s="120"/>
      <c r="P51" s="118" t="e">
        <f>#REF!</f>
        <v>#REF!</v>
      </c>
      <c r="Q51" s="119"/>
      <c r="R51" s="120"/>
      <c r="S51" s="120"/>
      <c r="T51" s="120"/>
      <c r="U51" s="120"/>
      <c r="V51" s="120"/>
      <c r="W51" s="120"/>
      <c r="X51" s="120"/>
      <c r="Y51" s="118"/>
      <c r="Z51" s="119" t="e">
        <f>#REF!</f>
        <v>#REF!</v>
      </c>
      <c r="AA51" s="120" t="e">
        <f>#REF!</f>
        <v>#REF!</v>
      </c>
      <c r="AB51" s="120" t="e">
        <f>#REF!</f>
        <v>#REF!</v>
      </c>
      <c r="AC51" s="120"/>
      <c r="AD51" s="120"/>
      <c r="AE51" s="120" t="e">
        <f>#REF!</f>
        <v>#REF!</v>
      </c>
      <c r="AF51" s="120" t="e">
        <f>#REF!</f>
        <v>#REF!</v>
      </c>
    </row>
    <row r="52" spans="1:32" ht="24.75" customHeight="1">
      <c r="A52" s="661"/>
      <c r="B52" s="120" t="s">
        <v>219</v>
      </c>
      <c r="C52" s="114" t="e">
        <f>#REF!</f>
        <v>#REF!</v>
      </c>
      <c r="D52" s="115" t="e">
        <f>#REF!</f>
        <v>#REF!</v>
      </c>
      <c r="E52" s="116"/>
      <c r="F52" s="117" t="e">
        <f>#REF!</f>
        <v>#REF!</v>
      </c>
      <c r="G52" s="118"/>
      <c r="H52" s="119" t="e">
        <f>#REF!</f>
        <v>#REF!</v>
      </c>
      <c r="I52" s="120" t="e">
        <f>#REF!</f>
        <v>#REF!</v>
      </c>
      <c r="J52" s="120" t="e">
        <f>#REF!</f>
        <v>#REF!</v>
      </c>
      <c r="K52" s="120" t="e">
        <f>#REF!</f>
        <v>#REF!</v>
      </c>
      <c r="L52" s="120"/>
      <c r="M52" s="120"/>
      <c r="N52" s="120"/>
      <c r="O52" s="120"/>
      <c r="P52" s="118" t="e">
        <f>#REF!</f>
        <v>#REF!</v>
      </c>
      <c r="Q52" s="119"/>
      <c r="R52" s="120"/>
      <c r="S52" s="120"/>
      <c r="T52" s="120"/>
      <c r="U52" s="120"/>
      <c r="V52" s="120"/>
      <c r="W52" s="120"/>
      <c r="X52" s="120"/>
      <c r="Y52" s="118"/>
      <c r="Z52" s="119" t="e">
        <f>#REF!</f>
        <v>#REF!</v>
      </c>
      <c r="AA52" s="120" t="e">
        <f>#REF!</f>
        <v>#REF!</v>
      </c>
      <c r="AB52" s="120" t="e">
        <f>#REF!</f>
        <v>#REF!</v>
      </c>
      <c r="AC52" s="120"/>
      <c r="AD52" s="120"/>
      <c r="AE52" s="120" t="e">
        <f>#REF!</f>
        <v>#REF!</v>
      </c>
      <c r="AF52" s="120" t="e">
        <f>#REF!</f>
        <v>#REF!</v>
      </c>
    </row>
    <row r="53" spans="1:32" ht="24.75" customHeight="1">
      <c r="A53" s="661"/>
      <c r="B53" s="120" t="s">
        <v>220</v>
      </c>
      <c r="C53" s="114" t="e">
        <f>#REF!</f>
        <v>#REF!</v>
      </c>
      <c r="D53" s="115" t="e">
        <f>#REF!</f>
        <v>#REF!</v>
      </c>
      <c r="E53" s="116"/>
      <c r="F53" s="117" t="e">
        <f>#REF!</f>
        <v>#REF!</v>
      </c>
      <c r="G53" s="118"/>
      <c r="H53" s="119" t="e">
        <f>#REF!</f>
        <v>#REF!</v>
      </c>
      <c r="I53" s="120" t="e">
        <f>#REF!</f>
        <v>#REF!</v>
      </c>
      <c r="J53" s="120" t="e">
        <f>#REF!</f>
        <v>#REF!</v>
      </c>
      <c r="K53" s="120" t="e">
        <f>#REF!</f>
        <v>#REF!</v>
      </c>
      <c r="L53" s="120"/>
      <c r="M53" s="120"/>
      <c r="N53" s="120"/>
      <c r="O53" s="120"/>
      <c r="P53" s="118" t="e">
        <f>#REF!</f>
        <v>#REF!</v>
      </c>
      <c r="Q53" s="119"/>
      <c r="R53" s="120"/>
      <c r="S53" s="120"/>
      <c r="T53" s="120"/>
      <c r="U53" s="120"/>
      <c r="V53" s="120"/>
      <c r="W53" s="120"/>
      <c r="X53" s="120"/>
      <c r="Y53" s="118"/>
      <c r="Z53" s="119" t="e">
        <f>#REF!</f>
        <v>#REF!</v>
      </c>
      <c r="AA53" s="120" t="e">
        <f>#REF!</f>
        <v>#REF!</v>
      </c>
      <c r="AB53" s="120" t="e">
        <f>#REF!</f>
        <v>#REF!</v>
      </c>
      <c r="AC53" s="120"/>
      <c r="AD53" s="120"/>
      <c r="AE53" s="120" t="e">
        <f>#REF!</f>
        <v>#REF!</v>
      </c>
      <c r="AF53" s="120" t="e">
        <f>#REF!</f>
        <v>#REF!</v>
      </c>
    </row>
    <row r="54" spans="1:32" ht="24.75" customHeight="1" thickBot="1">
      <c r="A54" s="661"/>
      <c r="B54" s="120" t="s">
        <v>221</v>
      </c>
      <c r="C54" s="220" t="e">
        <f>#REF!</f>
        <v>#REF!</v>
      </c>
      <c r="D54" s="148" t="e">
        <f>#REF!</f>
        <v>#REF!</v>
      </c>
      <c r="E54" s="149"/>
      <c r="F54" s="150" t="e">
        <f>#REF!</f>
        <v>#REF!</v>
      </c>
      <c r="G54" s="151"/>
      <c r="H54" s="152" t="e">
        <f>#REF!</f>
        <v>#REF!</v>
      </c>
      <c r="I54" s="153" t="e">
        <f>#REF!</f>
        <v>#REF!</v>
      </c>
      <c r="J54" s="153"/>
      <c r="K54" s="153"/>
      <c r="L54" s="153"/>
      <c r="M54" s="153"/>
      <c r="N54" s="153"/>
      <c r="O54" s="153"/>
      <c r="P54" s="151" t="e">
        <f>#REF!</f>
        <v>#REF!</v>
      </c>
      <c r="Q54" s="152"/>
      <c r="R54" s="153"/>
      <c r="S54" s="153"/>
      <c r="T54" s="153"/>
      <c r="U54" s="153"/>
      <c r="V54" s="153"/>
      <c r="W54" s="153"/>
      <c r="X54" s="153"/>
      <c r="Y54" s="151"/>
      <c r="Z54" s="152" t="e">
        <f>#REF!</f>
        <v>#REF!</v>
      </c>
      <c r="AA54" s="153" t="e">
        <f>#REF!</f>
        <v>#REF!</v>
      </c>
      <c r="AB54" s="153"/>
      <c r="AC54" s="153"/>
      <c r="AD54" s="153"/>
      <c r="AE54" s="153" t="e">
        <f>#REF!</f>
        <v>#REF!</v>
      </c>
      <c r="AF54" s="153" t="e">
        <f>#REF!</f>
        <v>#REF!</v>
      </c>
    </row>
    <row r="55" spans="1:32" ht="24.75" customHeight="1">
      <c r="A55" s="661"/>
      <c r="B55" s="120" t="s">
        <v>222</v>
      </c>
      <c r="C55" s="154" t="e">
        <f>#REF!</f>
        <v>#REF!</v>
      </c>
      <c r="D55" s="155" t="e">
        <f>#REF!</f>
        <v>#REF!</v>
      </c>
      <c r="E55" s="156"/>
      <c r="F55" s="157" t="e">
        <f>#REF!</f>
        <v>#REF!</v>
      </c>
      <c r="G55" s="158"/>
      <c r="H55" s="159" t="e">
        <f>#REF!</f>
        <v>#REF!</v>
      </c>
      <c r="I55" s="160" t="e">
        <f>#REF!</f>
        <v>#REF!</v>
      </c>
      <c r="J55" s="160"/>
      <c r="K55" s="160"/>
      <c r="L55" s="160"/>
      <c r="M55" s="160"/>
      <c r="N55" s="160"/>
      <c r="O55" s="160"/>
      <c r="P55" s="161" t="e">
        <f>#REF!</f>
        <v>#REF!</v>
      </c>
      <c r="Q55" s="156"/>
      <c r="R55" s="160"/>
      <c r="S55" s="160"/>
      <c r="T55" s="160"/>
      <c r="U55" s="160"/>
      <c r="V55" s="160"/>
      <c r="W55" s="160"/>
      <c r="X55" s="160"/>
      <c r="Y55" s="158"/>
      <c r="Z55" s="159" t="e">
        <f>#REF!</f>
        <v>#REF!</v>
      </c>
      <c r="AA55" s="160" t="e">
        <f>#REF!</f>
        <v>#REF!</v>
      </c>
      <c r="AB55" s="160"/>
      <c r="AC55" s="160"/>
      <c r="AD55" s="160"/>
      <c r="AE55" s="160" t="e">
        <f>#REF!</f>
        <v>#REF!</v>
      </c>
      <c r="AF55" s="160" t="e">
        <f>#REF!</f>
        <v>#REF!</v>
      </c>
    </row>
    <row r="56" spans="1:32" ht="24.75" customHeight="1">
      <c r="A56" s="661"/>
      <c r="B56" s="120" t="s">
        <v>223</v>
      </c>
      <c r="C56" s="217" t="s">
        <v>267</v>
      </c>
      <c r="D56" s="115" t="e">
        <f>#REF!</f>
        <v>#REF!</v>
      </c>
      <c r="E56" s="116"/>
      <c r="F56" s="117" t="e">
        <f>#REF!</f>
        <v>#REF!</v>
      </c>
      <c r="G56" s="118"/>
      <c r="H56" s="119" t="e">
        <f>#REF!</f>
        <v>#REF!</v>
      </c>
      <c r="I56" s="120" t="e">
        <f>#REF!</f>
        <v>#REF!</v>
      </c>
      <c r="J56" s="120"/>
      <c r="K56" s="120"/>
      <c r="L56" s="120"/>
      <c r="M56" s="120"/>
      <c r="N56" s="120"/>
      <c r="O56" s="120"/>
      <c r="P56" s="124" t="e">
        <f>#REF!</f>
        <v>#REF!</v>
      </c>
      <c r="Q56" s="116"/>
      <c r="R56" s="120"/>
      <c r="S56" s="120"/>
      <c r="T56" s="120"/>
      <c r="U56" s="120"/>
      <c r="V56" s="120"/>
      <c r="W56" s="120"/>
      <c r="X56" s="120"/>
      <c r="Y56" s="118"/>
      <c r="Z56" s="119" t="e">
        <f>#REF!</f>
        <v>#REF!</v>
      </c>
      <c r="AA56" s="120" t="e">
        <f>#REF!</f>
        <v>#REF!</v>
      </c>
      <c r="AB56" s="120"/>
      <c r="AC56" s="120"/>
      <c r="AD56" s="120"/>
      <c r="AE56" s="120" t="e">
        <f>#REF!</f>
        <v>#REF!</v>
      </c>
      <c r="AF56" s="120" t="e">
        <f>#REF!</f>
        <v>#REF!</v>
      </c>
    </row>
    <row r="57" spans="1:32" ht="24.75" customHeight="1">
      <c r="A57" s="661"/>
      <c r="B57" s="120" t="s">
        <v>224</v>
      </c>
      <c r="C57" s="217" t="e">
        <f>#REF!</f>
        <v>#REF!</v>
      </c>
      <c r="D57" s="115" t="e">
        <f>#REF!</f>
        <v>#REF!</v>
      </c>
      <c r="E57" s="116"/>
      <c r="F57" s="117" t="e">
        <f>#REF!</f>
        <v>#REF!</v>
      </c>
      <c r="G57" s="118"/>
      <c r="H57" s="119" t="e">
        <f>#REF!</f>
        <v>#REF!</v>
      </c>
      <c r="I57" s="120" t="e">
        <f>#REF!</f>
        <v>#REF!</v>
      </c>
      <c r="J57" s="120"/>
      <c r="K57" s="120"/>
      <c r="L57" s="120"/>
      <c r="M57" s="120"/>
      <c r="N57" s="120"/>
      <c r="O57" s="120"/>
      <c r="P57" s="124" t="e">
        <f>#REF!</f>
        <v>#REF!</v>
      </c>
      <c r="Q57" s="116"/>
      <c r="R57" s="120"/>
      <c r="S57" s="120"/>
      <c r="T57" s="120"/>
      <c r="U57" s="120"/>
      <c r="V57" s="120"/>
      <c r="W57" s="120"/>
      <c r="X57" s="120"/>
      <c r="Y57" s="118"/>
      <c r="Z57" s="119" t="e">
        <f>#REF!</f>
        <v>#REF!</v>
      </c>
      <c r="AA57" s="120" t="e">
        <f>#REF!</f>
        <v>#REF!</v>
      </c>
      <c r="AB57" s="120"/>
      <c r="AC57" s="120"/>
      <c r="AD57" s="120"/>
      <c r="AE57" s="120" t="e">
        <f>#REF!</f>
        <v>#REF!</v>
      </c>
      <c r="AF57" s="120" t="e">
        <f>#REF!</f>
        <v>#REF!</v>
      </c>
    </row>
    <row r="58" spans="1:32" ht="24.75" customHeight="1">
      <c r="A58" s="661"/>
      <c r="B58" s="120" t="s">
        <v>225</v>
      </c>
      <c r="C58" s="217" t="e">
        <f>#REF!</f>
        <v>#REF!</v>
      </c>
      <c r="D58" s="115" t="e">
        <f>#REF!</f>
        <v>#REF!</v>
      </c>
      <c r="E58" s="116"/>
      <c r="F58" s="117" t="e">
        <f>#REF!</f>
        <v>#REF!</v>
      </c>
      <c r="G58" s="118"/>
      <c r="H58" s="119"/>
      <c r="I58" s="120"/>
      <c r="J58" s="120"/>
      <c r="K58" s="120"/>
      <c r="L58" s="120"/>
      <c r="M58" s="120"/>
      <c r="N58" s="120"/>
      <c r="O58" s="120"/>
      <c r="P58" s="124"/>
      <c r="Q58" s="116" t="e">
        <f>#REF!</f>
        <v>#REF!</v>
      </c>
      <c r="R58" s="120" t="e">
        <f>#REF!</f>
        <v>#REF!</v>
      </c>
      <c r="S58" s="120"/>
      <c r="T58" s="120"/>
      <c r="U58" s="120"/>
      <c r="V58" s="120"/>
      <c r="W58" s="120"/>
      <c r="X58" s="120"/>
      <c r="Y58" s="118" t="e">
        <f>#REF!</f>
        <v>#REF!</v>
      </c>
      <c r="Z58" s="119" t="e">
        <f>#REF!</f>
        <v>#REF!</v>
      </c>
      <c r="AA58" s="120" t="e">
        <f>#REF!</f>
        <v>#REF!</v>
      </c>
      <c r="AB58" s="120"/>
      <c r="AC58" s="120"/>
      <c r="AD58" s="120"/>
      <c r="AE58" s="120" t="e">
        <f>#REF!</f>
        <v>#REF!</v>
      </c>
      <c r="AF58" s="120" t="e">
        <f>#REF!</f>
        <v>#REF!</v>
      </c>
    </row>
    <row r="59" spans="1:32" ht="24.75" customHeight="1">
      <c r="A59" s="661"/>
      <c r="B59" s="120" t="s">
        <v>226</v>
      </c>
      <c r="C59" s="114" t="e">
        <f>#REF!</f>
        <v>#REF!</v>
      </c>
      <c r="D59" s="115" t="e">
        <f>#REF!</f>
        <v>#REF!</v>
      </c>
      <c r="E59" s="116"/>
      <c r="F59" s="117" t="e">
        <f>#REF!</f>
        <v>#REF!</v>
      </c>
      <c r="G59" s="118"/>
      <c r="H59" s="119"/>
      <c r="I59" s="120"/>
      <c r="J59" s="120"/>
      <c r="K59" s="120"/>
      <c r="L59" s="120"/>
      <c r="M59" s="120"/>
      <c r="N59" s="120"/>
      <c r="O59" s="120"/>
      <c r="P59" s="124"/>
      <c r="Q59" s="116" t="e">
        <f>#REF!</f>
        <v>#REF!</v>
      </c>
      <c r="R59" s="120" t="e">
        <f>#REF!</f>
        <v>#REF!</v>
      </c>
      <c r="S59" s="120"/>
      <c r="T59" s="120"/>
      <c r="U59" s="120"/>
      <c r="V59" s="120"/>
      <c r="W59" s="120"/>
      <c r="X59" s="120"/>
      <c r="Y59" s="118" t="e">
        <f>#REF!</f>
        <v>#REF!</v>
      </c>
      <c r="Z59" s="119" t="e">
        <f>#REF!</f>
        <v>#REF!</v>
      </c>
      <c r="AA59" s="120" t="e">
        <f>#REF!</f>
        <v>#REF!</v>
      </c>
      <c r="AB59" s="120"/>
      <c r="AC59" s="120"/>
      <c r="AD59" s="120"/>
      <c r="AE59" s="120" t="e">
        <f>#REF!</f>
        <v>#REF!</v>
      </c>
      <c r="AF59" s="120" t="e">
        <f>#REF!</f>
        <v>#REF!</v>
      </c>
    </row>
    <row r="60" spans="1:32" ht="24.75" customHeight="1">
      <c r="A60" s="661"/>
      <c r="B60" s="120" t="s">
        <v>227</v>
      </c>
      <c r="C60" s="114" t="e">
        <f>#REF!</f>
        <v>#REF!</v>
      </c>
      <c r="D60" s="115" t="e">
        <f>#REF!</f>
        <v>#REF!</v>
      </c>
      <c r="E60" s="116"/>
      <c r="F60" s="117" t="e">
        <f>#REF!</f>
        <v>#REF!</v>
      </c>
      <c r="G60" s="118"/>
      <c r="H60" s="119"/>
      <c r="I60" s="120"/>
      <c r="J60" s="120"/>
      <c r="K60" s="120"/>
      <c r="L60" s="120"/>
      <c r="M60" s="120"/>
      <c r="N60" s="120"/>
      <c r="O60" s="120"/>
      <c r="P60" s="124"/>
      <c r="Q60" s="116" t="e">
        <f>#REF!</f>
        <v>#REF!</v>
      </c>
      <c r="R60" s="120" t="e">
        <f>#REF!</f>
        <v>#REF!</v>
      </c>
      <c r="S60" s="120"/>
      <c r="T60" s="120"/>
      <c r="U60" s="120"/>
      <c r="V60" s="120"/>
      <c r="W60" s="120"/>
      <c r="X60" s="120"/>
      <c r="Y60" s="118" t="e">
        <f>#REF!</f>
        <v>#REF!</v>
      </c>
      <c r="Z60" s="119" t="e">
        <f>#REF!</f>
        <v>#REF!</v>
      </c>
      <c r="AA60" s="120" t="e">
        <f>#REF!</f>
        <v>#REF!</v>
      </c>
      <c r="AB60" s="120"/>
      <c r="AC60" s="120"/>
      <c r="AD60" s="120"/>
      <c r="AE60" s="120" t="e">
        <f>#REF!</f>
        <v>#REF!</v>
      </c>
      <c r="AF60" s="120" t="e">
        <f>#REF!</f>
        <v>#REF!</v>
      </c>
    </row>
    <row r="61" spans="1:32" ht="24.75" customHeight="1">
      <c r="A61" s="662"/>
      <c r="B61" s="120" t="s">
        <v>228</v>
      </c>
      <c r="C61" s="114" t="e">
        <f>#REF!</f>
        <v>#REF!</v>
      </c>
      <c r="D61" s="115" t="e">
        <f>#REF!</f>
        <v>#REF!</v>
      </c>
      <c r="E61" s="116"/>
      <c r="F61" s="117" t="e">
        <f>#REF!</f>
        <v>#REF!</v>
      </c>
      <c r="G61" s="118"/>
      <c r="H61" s="119"/>
      <c r="I61" s="120"/>
      <c r="J61" s="120"/>
      <c r="K61" s="120"/>
      <c r="L61" s="120"/>
      <c r="M61" s="120"/>
      <c r="N61" s="120"/>
      <c r="O61" s="120"/>
      <c r="P61" s="124"/>
      <c r="Q61" s="116" t="e">
        <f>#REF!</f>
        <v>#REF!</v>
      </c>
      <c r="R61" s="120" t="e">
        <f>#REF!</f>
        <v>#REF!</v>
      </c>
      <c r="S61" s="120"/>
      <c r="T61" s="120"/>
      <c r="U61" s="120"/>
      <c r="V61" s="120"/>
      <c r="W61" s="120"/>
      <c r="X61" s="120"/>
      <c r="Y61" s="118" t="e">
        <f>#REF!</f>
        <v>#REF!</v>
      </c>
      <c r="Z61" s="119" t="e">
        <f>#REF!</f>
        <v>#REF!</v>
      </c>
      <c r="AA61" s="120" t="e">
        <f>#REF!</f>
        <v>#REF!</v>
      </c>
      <c r="AB61" s="120"/>
      <c r="AC61" s="120"/>
      <c r="AD61" s="120"/>
      <c r="AE61" s="120" t="e">
        <f>#REF!</f>
        <v>#REF!</v>
      </c>
      <c r="AF61" s="120" t="e">
        <f>#REF!</f>
        <v>#REF!</v>
      </c>
    </row>
    <row r="62" spans="1:32" ht="196.5" customHeight="1">
      <c r="A62" s="130" t="s">
        <v>160</v>
      </c>
      <c r="B62" s="120" t="s">
        <v>229</v>
      </c>
      <c r="C62" s="123" t="s">
        <v>261</v>
      </c>
      <c r="D62" s="115" t="e">
        <f>#REF!</f>
        <v>#REF!</v>
      </c>
      <c r="E62" s="116"/>
      <c r="F62" s="117" t="e">
        <f>#REF!</f>
        <v>#REF!</v>
      </c>
      <c r="G62" s="118"/>
      <c r="H62" s="119" t="e">
        <f>#REF!</f>
        <v>#REF!</v>
      </c>
      <c r="I62" s="120" t="e">
        <f>#REF!</f>
        <v>#REF!</v>
      </c>
      <c r="J62" s="120" t="e">
        <f>#REF!</f>
        <v>#REF!</v>
      </c>
      <c r="K62" s="120" t="e">
        <f>#REF!</f>
        <v>#REF!</v>
      </c>
      <c r="L62" s="120"/>
      <c r="M62" s="120"/>
      <c r="N62" s="120"/>
      <c r="O62" s="120"/>
      <c r="P62" s="118" t="e">
        <f>#REF!</f>
        <v>#REF!</v>
      </c>
      <c r="Q62" s="119"/>
      <c r="R62" s="120"/>
      <c r="S62" s="120" t="e">
        <f>#REF!</f>
        <v>#REF!</v>
      </c>
      <c r="T62" s="120" t="e">
        <f>#REF!</f>
        <v>#REF!</v>
      </c>
      <c r="U62" s="120"/>
      <c r="V62" s="120"/>
      <c r="W62" s="120"/>
      <c r="X62" s="120"/>
      <c r="Y62" s="118" t="e">
        <f>#REF!</f>
        <v>#REF!</v>
      </c>
      <c r="Z62" s="119" t="e">
        <f>#REF!</f>
        <v>#REF!</v>
      </c>
      <c r="AA62" s="120" t="e">
        <f>#REF!</f>
        <v>#REF!</v>
      </c>
      <c r="AB62" s="120" t="e">
        <f>#REF!</f>
        <v>#REF!</v>
      </c>
      <c r="AC62" s="120"/>
      <c r="AD62" s="120"/>
      <c r="AE62" s="120" t="e">
        <f>#REF!</f>
        <v>#REF!</v>
      </c>
      <c r="AF62" s="120" t="e">
        <f>#REF!</f>
        <v>#REF!</v>
      </c>
    </row>
    <row r="63" spans="1:32" ht="204" customHeight="1">
      <c r="A63" s="128" t="s">
        <v>194</v>
      </c>
      <c r="B63" s="120" t="s">
        <v>230</v>
      </c>
      <c r="C63" s="123" t="s">
        <v>260</v>
      </c>
      <c r="D63" s="135" t="str">
        <f>'VI rok'!C24</f>
        <v>0912-7LEK-F55-Z</v>
      </c>
      <c r="E63" s="116"/>
      <c r="F63" s="120" t="str">
        <f>'VI rok'!E24</f>
        <v>9-12</v>
      </c>
      <c r="G63" s="118"/>
      <c r="H63" s="119">
        <f>'VI rok'!G24</f>
        <v>0</v>
      </c>
      <c r="I63" s="120">
        <f>'VI rok'!H24</f>
        <v>0</v>
      </c>
      <c r="J63" s="120">
        <f>'VI rok'!I24</f>
        <v>20</v>
      </c>
      <c r="K63" s="120">
        <f>'VI rok'!J24</f>
        <v>5</v>
      </c>
      <c r="L63" s="120"/>
      <c r="M63" s="120"/>
      <c r="N63" s="120"/>
      <c r="O63" s="120"/>
      <c r="P63" s="124">
        <f>'VI rok'!O24</f>
        <v>1</v>
      </c>
      <c r="Q63" s="116"/>
      <c r="R63" s="120"/>
      <c r="S63" s="120">
        <f>'VI rok'!R24</f>
        <v>20</v>
      </c>
      <c r="T63" s="120">
        <f>'VI rok'!S24</f>
        <v>30</v>
      </c>
      <c r="U63" s="120"/>
      <c r="V63" s="120"/>
      <c r="W63" s="120"/>
      <c r="X63" s="120"/>
      <c r="Y63" s="118">
        <f>'VI rok'!X24</f>
        <v>2</v>
      </c>
      <c r="Z63" s="119">
        <f>'VI rok'!Y24</f>
        <v>40</v>
      </c>
      <c r="AA63" s="120">
        <f>'VI rok'!Z24</f>
        <v>0</v>
      </c>
      <c r="AB63" s="120">
        <f>'VI rok'!AA24</f>
        <v>40</v>
      </c>
      <c r="AC63" s="120"/>
      <c r="AD63" s="120"/>
      <c r="AE63" s="120">
        <f>'VI rok'!AD24</f>
        <v>75</v>
      </c>
      <c r="AF63" s="120">
        <f>'VI rok'!AE24</f>
        <v>3</v>
      </c>
    </row>
    <row r="64" spans="1:32"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16</vt:i4>
      </vt:variant>
    </vt:vector>
  </HeadingPairs>
  <TitlesOfParts>
    <vt:vector size="27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Gaweł</cp:lastModifiedBy>
  <cp:lastPrinted>2021-04-13T09:39:20Z</cp:lastPrinted>
  <dcterms:created xsi:type="dcterms:W3CDTF">2010-12-06T08:38:47Z</dcterms:created>
  <dcterms:modified xsi:type="dcterms:W3CDTF">2023-09-20T13:19:15Z</dcterms:modified>
</cp:coreProperties>
</file>